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985" yWindow="2505" windowWidth="20730" windowHeight="6435" tabRatio="943" firstSheet="8" activeTab="8"/>
  </bookViews>
  <sheets>
    <sheet name="Раздел 1.Поступления и выплаты" sheetId="1" r:id="rId1"/>
    <sheet name="Раздел 2.Сведения по выплатам" sheetId="2" r:id="rId2"/>
    <sheet name="3.1.1." sheetId="3" r:id="rId3"/>
    <sheet name="3.1.2" sheetId="4" r:id="rId4"/>
    <sheet name="3.1.3" sheetId="5" r:id="rId5"/>
    <sheet name="3.2.1" sheetId="6" r:id="rId6"/>
    <sheet name="3.2.2" sheetId="7" r:id="rId7"/>
    <sheet name="3.2.3" sheetId="8" r:id="rId8"/>
    <sheet name="3.2.4" sheetId="9" r:id="rId9"/>
    <sheet name="3.2.5" sheetId="10" r:id="rId10"/>
    <sheet name="3.3.1" sheetId="11" r:id="rId11"/>
    <sheet name="3.5.1 (2)" sheetId="40" r:id="rId12"/>
    <sheet name="3.4.1" sheetId="12" r:id="rId13"/>
    <sheet name="3.6.1" sheetId="14" r:id="rId14"/>
    <sheet name="3.6.3 (2)" sheetId="42" r:id="rId15"/>
    <sheet name="3.6.4 (2)" sheetId="43" r:id="rId16"/>
    <sheet name="3.6.5 (2)" sheetId="44" r:id="rId17"/>
    <sheet name="3.7.1 (2)" sheetId="45" r:id="rId18"/>
    <sheet name="3.7.2 (2)" sheetId="46" r:id="rId19"/>
    <sheet name="3.8.1 (2)" sheetId="47" r:id="rId20"/>
    <sheet name="3.8.2 (2)" sheetId="48" r:id="rId21"/>
    <sheet name="3.9 (2)" sheetId="49" r:id="rId22"/>
    <sheet name="3.10 (2)" sheetId="50" r:id="rId23"/>
    <sheet name="3.11 (2)" sheetId="51" r:id="rId24"/>
    <sheet name="3.12 (2)" sheetId="52" r:id="rId25"/>
    <sheet name="3.13.1" sheetId="26" r:id="rId26"/>
    <sheet name="3.13.2" sheetId="27" r:id="rId27"/>
    <sheet name="3.13.3" sheetId="28" r:id="rId28"/>
    <sheet name="3.13.4" sheetId="29" r:id="rId29"/>
    <sheet name="3.13.5" sheetId="30" r:id="rId30"/>
    <sheet name="3.13.6" sheetId="31" r:id="rId31"/>
    <sheet name="3.13.7" sheetId="32" r:id="rId32"/>
    <sheet name="3.13.8" sheetId="33" r:id="rId33"/>
    <sheet name="3.13.9" sheetId="37" r:id="rId34"/>
    <sheet name="3.13.10" sheetId="38" r:id="rId35"/>
    <sheet name="3.13.11" sheetId="39" r:id="rId36"/>
    <sheet name="Лист1" sheetId="53" r:id="rId37"/>
  </sheets>
  <definedNames>
    <definedName name="_xlnm.Print_Area" localSheetId="28">'3.13.4'!#REF!</definedName>
    <definedName name="_xlnm.Print_Area" localSheetId="6">'3.2.2'!$A$1:$K$217</definedName>
    <definedName name="_xlnm.Print_Area" localSheetId="14">'3.6.3 (2)'!$A$1:$L$117</definedName>
    <definedName name="_xlnm.Print_Area" localSheetId="16">'3.6.5 (2)'!$A$1:$L$112</definedName>
    <definedName name="_xlnm.Print_Area" localSheetId="18">'3.7.2 (2)'!$A$1:$H$206</definedName>
  </definedNames>
  <calcPr calcId="145621"/>
</workbook>
</file>

<file path=xl/calcChain.xml><?xml version="1.0" encoding="utf-8"?>
<calcChain xmlns="http://schemas.openxmlformats.org/spreadsheetml/2006/main">
  <c r="D24" i="26" l="1"/>
  <c r="H24" i="26"/>
  <c r="I171" i="39"/>
  <c r="I174" i="39"/>
  <c r="F170" i="39"/>
  <c r="I162" i="39" l="1"/>
  <c r="F161" i="39"/>
  <c r="K153" i="39"/>
  <c r="J153" i="39"/>
  <c r="I153" i="39"/>
  <c r="K142" i="39"/>
  <c r="J142" i="39"/>
  <c r="I142" i="39"/>
  <c r="H138" i="39"/>
  <c r="G138" i="39"/>
  <c r="F138" i="39"/>
  <c r="K128" i="39"/>
  <c r="J128" i="39"/>
  <c r="I128" i="39"/>
  <c r="K119" i="39"/>
  <c r="J119" i="39"/>
  <c r="I119" i="39"/>
  <c r="F118" i="39"/>
  <c r="K108" i="39"/>
  <c r="J108" i="39"/>
  <c r="I108" i="39"/>
  <c r="H107" i="39"/>
  <c r="G107" i="39"/>
  <c r="F107" i="39"/>
  <c r="K99" i="39"/>
  <c r="J99" i="39"/>
  <c r="I99" i="39"/>
  <c r="F98" i="39"/>
  <c r="K91" i="39"/>
  <c r="J91" i="39"/>
  <c r="I91" i="39"/>
  <c r="H90" i="39"/>
  <c r="G90" i="39"/>
  <c r="F90" i="39"/>
  <c r="H89" i="39"/>
  <c r="G89" i="39"/>
  <c r="F89" i="39"/>
  <c r="K82" i="39"/>
  <c r="J82" i="39"/>
  <c r="I82" i="39"/>
  <c r="F81" i="39"/>
  <c r="K72" i="39"/>
  <c r="J72" i="39"/>
  <c r="I72" i="39"/>
  <c r="H71" i="39"/>
  <c r="G71" i="39"/>
  <c r="F71" i="39"/>
  <c r="H70" i="39"/>
  <c r="K63" i="39"/>
  <c r="J63" i="39"/>
  <c r="I63" i="39"/>
  <c r="K54" i="39"/>
  <c r="J54" i="39"/>
  <c r="I54" i="39"/>
  <c r="F42" i="39"/>
  <c r="K41" i="39"/>
  <c r="J41" i="39"/>
  <c r="I41" i="39"/>
  <c r="H40" i="39"/>
  <c r="G40" i="39"/>
  <c r="F40" i="39"/>
  <c r="H39" i="39"/>
  <c r="G39" i="39"/>
  <c r="F39" i="39"/>
  <c r="H38" i="39"/>
  <c r="G38" i="39"/>
  <c r="F38" i="39"/>
  <c r="K37" i="39"/>
  <c r="K43" i="39" s="1"/>
  <c r="J37" i="39"/>
  <c r="J43" i="39" s="1"/>
  <c r="I37" i="39"/>
  <c r="I43" i="39" s="1"/>
  <c r="F34" i="39"/>
  <c r="H26" i="39"/>
  <c r="G26" i="39"/>
  <c r="K25" i="39"/>
  <c r="J25" i="39"/>
  <c r="I25" i="39"/>
  <c r="K24" i="39"/>
  <c r="J24" i="39"/>
  <c r="I24" i="39"/>
  <c r="K23" i="39"/>
  <c r="J23" i="39"/>
  <c r="I23" i="39"/>
  <c r="K22" i="39"/>
  <c r="K27" i="39" s="1"/>
  <c r="J22" i="39"/>
  <c r="H21" i="39"/>
  <c r="G21" i="39"/>
  <c r="F21" i="39"/>
  <c r="I13" i="39"/>
  <c r="I12" i="39"/>
  <c r="K11" i="39"/>
  <c r="J11" i="39"/>
  <c r="G11" i="39" s="1"/>
  <c r="I11" i="39"/>
  <c r="F11" i="39" s="1"/>
  <c r="H11" i="39"/>
  <c r="K10" i="39"/>
  <c r="J10" i="39"/>
  <c r="I10" i="39"/>
  <c r="K9" i="39"/>
  <c r="J9" i="39"/>
  <c r="I9" i="39"/>
  <c r="K8" i="39"/>
  <c r="J8" i="39"/>
  <c r="I8" i="39"/>
  <c r="K97" i="38"/>
  <c r="J97" i="38"/>
  <c r="I97" i="38"/>
  <c r="K90" i="38"/>
  <c r="J90" i="38"/>
  <c r="I90" i="38"/>
  <c r="K79" i="38"/>
  <c r="J79" i="38"/>
  <c r="I79" i="38"/>
  <c r="K70" i="38"/>
  <c r="J70" i="38"/>
  <c r="I70" i="38"/>
  <c r="K62" i="38"/>
  <c r="J62" i="38"/>
  <c r="I62" i="38"/>
  <c r="K54" i="38"/>
  <c r="J54" i="38"/>
  <c r="I54" i="38"/>
  <c r="H53" i="38"/>
  <c r="G53" i="38"/>
  <c r="F53" i="38"/>
  <c r="K38" i="38"/>
  <c r="J38" i="38"/>
  <c r="I38" i="38"/>
  <c r="K30" i="38"/>
  <c r="J30" i="38"/>
  <c r="I30" i="38"/>
  <c r="K22" i="38"/>
  <c r="J22" i="38"/>
  <c r="I22" i="38"/>
  <c r="H12" i="38"/>
  <c r="G12" i="38"/>
  <c r="F12" i="38"/>
  <c r="K11" i="38"/>
  <c r="J11" i="38"/>
  <c r="I11" i="38"/>
  <c r="K10" i="38"/>
  <c r="J10" i="38"/>
  <c r="I10" i="38"/>
  <c r="K9" i="38"/>
  <c r="K13" i="38" s="1"/>
  <c r="J9" i="38"/>
  <c r="J13" i="38" s="1"/>
  <c r="I9" i="38"/>
  <c r="I13" i="38" s="1"/>
  <c r="H8" i="38"/>
  <c r="G8" i="38"/>
  <c r="F8" i="38"/>
  <c r="K14" i="39" l="1"/>
  <c r="K174" i="39" s="1"/>
  <c r="I27" i="39"/>
  <c r="I14" i="39"/>
  <c r="J27" i="39"/>
  <c r="J14" i="39"/>
  <c r="I104" i="38"/>
  <c r="J104" i="38"/>
  <c r="K104" i="38"/>
  <c r="C11" i="45"/>
  <c r="H22" i="2"/>
  <c r="G22" i="2"/>
  <c r="F22" i="2"/>
  <c r="H16" i="2"/>
  <c r="G16" i="2"/>
  <c r="G6" i="2"/>
  <c r="F16" i="2"/>
  <c r="F6" i="2" s="1"/>
  <c r="F81" i="1"/>
  <c r="F45" i="1"/>
  <c r="D12" i="45"/>
  <c r="G206" i="46"/>
  <c r="H206" i="46"/>
  <c r="H111" i="46"/>
  <c r="H67" i="46"/>
  <c r="E12" i="45"/>
  <c r="L107" i="44"/>
  <c r="L104" i="44"/>
  <c r="L18" i="44"/>
  <c r="L18" i="43"/>
  <c r="AA13" i="26"/>
  <c r="I64" i="31"/>
  <c r="J64" i="31"/>
  <c r="K64" i="31"/>
  <c r="J174" i="39" l="1"/>
  <c r="F20" i="37"/>
  <c r="C11" i="14" l="1"/>
  <c r="G22" i="1"/>
  <c r="E22" i="1"/>
  <c r="C16" i="45"/>
  <c r="H155" i="46"/>
  <c r="H53" i="1"/>
  <c r="F53" i="1"/>
  <c r="D53" i="1"/>
  <c r="K15" i="10"/>
  <c r="J15" i="10"/>
  <c r="I15" i="10"/>
  <c r="G14" i="10"/>
  <c r="F14" i="10"/>
  <c r="G13" i="10"/>
  <c r="F13" i="10"/>
  <c r="G12" i="10"/>
  <c r="F12" i="10"/>
  <c r="G11" i="10"/>
  <c r="F11" i="10"/>
  <c r="G10" i="10"/>
  <c r="F10" i="10"/>
  <c r="G9" i="10"/>
  <c r="F9" i="10"/>
  <c r="G8" i="10"/>
  <c r="F8" i="10"/>
  <c r="G7" i="10"/>
  <c r="F7" i="10"/>
  <c r="J106" i="43" l="1"/>
  <c r="J109" i="43" s="1"/>
  <c r="C12" i="45" l="1"/>
  <c r="F206" i="46"/>
  <c r="F22" i="46"/>
  <c r="E15" i="6" l="1"/>
  <c r="D15" i="6"/>
  <c r="C15" i="6"/>
  <c r="G111" i="46" l="1"/>
  <c r="H133" i="46"/>
  <c r="H89" i="46"/>
  <c r="H45" i="46"/>
  <c r="G133" i="46"/>
  <c r="D125" i="26" l="1"/>
  <c r="D72" i="26"/>
  <c r="D17" i="26"/>
  <c r="K43" i="29" l="1"/>
  <c r="K45" i="29" s="1"/>
  <c r="J43" i="29"/>
  <c r="I43" i="29"/>
  <c r="G42" i="29"/>
  <c r="F42" i="29"/>
  <c r="G41" i="29"/>
  <c r="F41" i="29"/>
  <c r="G40" i="29"/>
  <c r="F40" i="29"/>
  <c r="G39" i="29"/>
  <c r="F39" i="29"/>
  <c r="G38" i="29"/>
  <c r="F38" i="29"/>
  <c r="G37" i="29"/>
  <c r="F37" i="29"/>
  <c r="G36" i="29"/>
  <c r="F36" i="29"/>
  <c r="G35" i="29"/>
  <c r="F35" i="29"/>
  <c r="E19" i="29"/>
  <c r="D19" i="29"/>
  <c r="C19" i="29"/>
  <c r="E18" i="29"/>
  <c r="D18" i="29"/>
  <c r="C18" i="29"/>
  <c r="K16" i="29"/>
  <c r="J16" i="29"/>
  <c r="I16" i="29"/>
  <c r="I14" i="29"/>
  <c r="D14" i="29"/>
  <c r="K13" i="29"/>
  <c r="I13" i="29"/>
  <c r="D13" i="29"/>
  <c r="K12" i="29"/>
  <c r="I12" i="29"/>
  <c r="I11" i="29"/>
  <c r="D11" i="29"/>
  <c r="I10" i="29"/>
  <c r="D10" i="29"/>
  <c r="K9" i="29"/>
  <c r="I9" i="29"/>
  <c r="D9" i="29"/>
  <c r="I8" i="29"/>
  <c r="D8" i="29"/>
  <c r="E7" i="29"/>
  <c r="D7" i="29"/>
  <c r="C7" i="29"/>
  <c r="B7" i="29"/>
  <c r="B8" i="29" s="1"/>
  <c r="B9" i="29" s="1"/>
  <c r="B10" i="29" s="1"/>
  <c r="B11" i="29" s="1"/>
  <c r="B12" i="29" s="1"/>
  <c r="B13" i="29" s="1"/>
  <c r="B14" i="29" s="1"/>
  <c r="B15" i="29" s="1"/>
  <c r="B16" i="29" s="1"/>
  <c r="B17" i="29" s="1"/>
  <c r="K6" i="29"/>
  <c r="E6" i="29" s="1"/>
  <c r="I45" i="29" l="1"/>
  <c r="P17" i="26"/>
  <c r="J45" i="29"/>
  <c r="S72" i="26"/>
  <c r="K20" i="9" l="1"/>
  <c r="I20" i="9"/>
  <c r="J20" i="9"/>
  <c r="D14" i="6" l="1"/>
  <c r="G21" i="1"/>
  <c r="E14" i="6"/>
  <c r="I21" i="1"/>
  <c r="C14" i="6"/>
  <c r="E21" i="1"/>
  <c r="F33" i="2" s="1"/>
  <c r="F10" i="2"/>
  <c r="D6" i="49"/>
  <c r="C6" i="49"/>
  <c r="D7" i="8"/>
  <c r="E7" i="8"/>
  <c r="C7" i="8"/>
  <c r="N8" i="48" l="1"/>
  <c r="M8" i="48"/>
  <c r="N7" i="48"/>
  <c r="M7" i="48"/>
  <c r="L8" i="48"/>
  <c r="L7" i="48"/>
  <c r="I151" i="7" l="1"/>
  <c r="J120" i="7" l="1"/>
  <c r="I120" i="7"/>
  <c r="K21" i="31" l="1"/>
  <c r="H61" i="1"/>
  <c r="H73" i="37" l="1"/>
  <c r="G73" i="37"/>
  <c r="F73" i="37"/>
  <c r="D104" i="42" l="1"/>
  <c r="D104" i="43"/>
  <c r="D99" i="44" s="1"/>
  <c r="G86" i="46"/>
  <c r="E17" i="1" l="1"/>
  <c r="E10" i="1" s="1"/>
  <c r="L13" i="26" l="1"/>
  <c r="L27" i="26" s="1"/>
  <c r="K59" i="31"/>
  <c r="W127" i="26" s="1"/>
  <c r="W121" i="26" s="1"/>
  <c r="W135" i="26" s="1"/>
  <c r="J59" i="31"/>
  <c r="W74" i="26" s="1"/>
  <c r="W68" i="26" s="1"/>
  <c r="W82" i="26" s="1"/>
  <c r="I59" i="31"/>
  <c r="J21" i="31" l="1"/>
  <c r="I21" i="31"/>
  <c r="N7" i="27"/>
  <c r="M7" i="27"/>
  <c r="L7" i="27"/>
  <c r="L9" i="27" s="1"/>
  <c r="G17" i="43" l="1"/>
  <c r="D105" i="43"/>
  <c r="D100" i="44" s="1"/>
  <c r="D106" i="43"/>
  <c r="D101" i="44" s="1"/>
  <c r="D107" i="43"/>
  <c r="D102" i="44" s="1"/>
  <c r="D108" i="43"/>
  <c r="D103" i="44" s="1"/>
  <c r="D109" i="43"/>
  <c r="D104" i="44" s="1"/>
  <c r="D110" i="43"/>
  <c r="D105" i="44" s="1"/>
  <c r="D111" i="43"/>
  <c r="D106" i="44" s="1"/>
  <c r="D112" i="43"/>
  <c r="D107" i="44" s="1"/>
  <c r="D113" i="43"/>
  <c r="D108" i="44" s="1"/>
  <c r="D114" i="43"/>
  <c r="D109" i="44" s="1"/>
  <c r="D115" i="43"/>
  <c r="D110" i="44" s="1"/>
  <c r="D116" i="43"/>
  <c r="D111" i="44" s="1"/>
  <c r="D105" i="42"/>
  <c r="D106" i="42"/>
  <c r="D107" i="42"/>
  <c r="D108" i="42"/>
  <c r="D109" i="42"/>
  <c r="D110" i="42"/>
  <c r="D111" i="42"/>
  <c r="D112" i="42"/>
  <c r="D113" i="42"/>
  <c r="D117" i="42" s="1"/>
  <c r="L110" i="42" s="1"/>
  <c r="D114" i="42"/>
  <c r="D115" i="42"/>
  <c r="D116" i="42"/>
  <c r="D117" i="43"/>
  <c r="G40" i="1" s="1"/>
  <c r="D141" i="46" l="1"/>
  <c r="G141" i="46" s="1"/>
  <c r="D112" i="44"/>
  <c r="E141" i="46" s="1"/>
  <c r="D13" i="14"/>
  <c r="J107" i="43"/>
  <c r="I17" i="42"/>
  <c r="L105" i="44" l="1"/>
  <c r="E13" i="14"/>
  <c r="F145" i="37" l="1"/>
  <c r="AA22" i="26" l="1"/>
  <c r="K101" i="44" l="1"/>
  <c r="H145" i="37"/>
  <c r="G145" i="37"/>
  <c r="C186" i="46" l="1"/>
  <c r="C51" i="2" l="1"/>
  <c r="I41" i="7" l="1"/>
  <c r="C119" i="7"/>
  <c r="AB13" i="26" l="1"/>
  <c r="AB27" i="26" s="1"/>
  <c r="I79" i="7" l="1"/>
  <c r="J42" i="7" l="1"/>
  <c r="J41" i="7"/>
  <c r="I42" i="7"/>
  <c r="I40" i="7" s="1"/>
  <c r="K7" i="49"/>
  <c r="J7" i="49"/>
  <c r="G50" i="42"/>
  <c r="E186" i="46"/>
  <c r="E197" i="46" s="1"/>
  <c r="D186" i="46"/>
  <c r="D191" i="46" s="1"/>
  <c r="C198" i="46"/>
  <c r="F198" i="46" s="1"/>
  <c r="F197" i="46" s="1"/>
  <c r="AA27" i="26" l="1"/>
  <c r="G191" i="46"/>
  <c r="D194" i="46"/>
  <c r="G186" i="46"/>
  <c r="G185" i="46" s="1"/>
  <c r="D198" i="46"/>
  <c r="G198" i="46" s="1"/>
  <c r="G197" i="46" s="1"/>
  <c r="H186" i="46"/>
  <c r="H185" i="46" s="1"/>
  <c r="C191" i="46"/>
  <c r="F191" i="46" s="1"/>
  <c r="C197" i="46"/>
  <c r="E198" i="46"/>
  <c r="H198" i="46" s="1"/>
  <c r="H197" i="46" s="1"/>
  <c r="F186" i="46"/>
  <c r="F185" i="46" s="1"/>
  <c r="E191" i="46"/>
  <c r="C194" i="46"/>
  <c r="F194" i="46" s="1"/>
  <c r="G62" i="44"/>
  <c r="D13" i="12"/>
  <c r="D12" i="12" s="1"/>
  <c r="D22" i="12" s="1"/>
  <c r="H191" i="46" l="1"/>
  <c r="E194" i="46"/>
  <c r="H194" i="46" s="1"/>
  <c r="F190" i="46"/>
  <c r="F200" i="46" s="1"/>
  <c r="G194" i="46"/>
  <c r="G190" i="46" s="1"/>
  <c r="G200" i="46" s="1"/>
  <c r="D197" i="46"/>
  <c r="H190" i="46" l="1"/>
  <c r="H200" i="46" s="1"/>
  <c r="K151" i="7" l="1"/>
  <c r="J151" i="7"/>
  <c r="C72" i="26" l="1"/>
  <c r="L106" i="44" l="1"/>
  <c r="K103" i="43"/>
  <c r="J108" i="43" s="1"/>
  <c r="K104" i="42"/>
  <c r="L111" i="42" s="1"/>
  <c r="E53" i="43" l="1"/>
  <c r="E47" i="44" s="1"/>
  <c r="G56" i="43"/>
  <c r="G50" i="44" s="1"/>
  <c r="G54" i="43"/>
  <c r="G48" i="44" s="1"/>
  <c r="G52" i="43"/>
  <c r="G46" i="44" s="1"/>
  <c r="E52" i="43"/>
  <c r="E46" i="44" s="1"/>
  <c r="G51" i="43"/>
  <c r="G45" i="44" s="1"/>
  <c r="E51" i="43"/>
  <c r="E45" i="44" s="1"/>
  <c r="G50" i="43"/>
  <c r="G44" i="44" s="1"/>
  <c r="E50" i="43"/>
  <c r="E44" i="44" s="1"/>
  <c r="G49" i="43"/>
  <c r="G43" i="44" s="1"/>
  <c r="E49" i="43"/>
  <c r="E43" i="44" s="1"/>
  <c r="G48" i="43"/>
  <c r="G42" i="44" s="1"/>
  <c r="E48" i="43"/>
  <c r="E42" i="44" s="1"/>
  <c r="G47" i="43"/>
  <c r="G41" i="44" s="1"/>
  <c r="E47" i="43"/>
  <c r="E41" i="44" s="1"/>
  <c r="G46" i="43"/>
  <c r="E46" i="43"/>
  <c r="E40" i="44" s="1"/>
  <c r="G45" i="43"/>
  <c r="G39" i="44" s="1"/>
  <c r="E45" i="43"/>
  <c r="E39" i="44" s="1"/>
  <c r="G44" i="43"/>
  <c r="G38" i="44" s="1"/>
  <c r="E44" i="43"/>
  <c r="E38" i="44" s="1"/>
  <c r="G29" i="44"/>
  <c r="G26" i="44"/>
  <c r="E27" i="44"/>
  <c r="E26" i="44"/>
  <c r="D29" i="44"/>
  <c r="D27" i="44"/>
  <c r="D26" i="44"/>
  <c r="G29" i="42"/>
  <c r="I44" i="43" l="1"/>
  <c r="G80" i="42" l="1"/>
  <c r="G81" i="42"/>
  <c r="G83" i="42"/>
  <c r="G84" i="42"/>
  <c r="G49" i="44"/>
  <c r="G14" i="42"/>
  <c r="G18" i="42" s="1"/>
  <c r="I8" i="8" l="1"/>
  <c r="E20" i="1" s="1"/>
  <c r="F17" i="1" l="1"/>
  <c r="F10" i="1" s="1"/>
  <c r="I62" i="42" l="1"/>
  <c r="Q13" i="26"/>
  <c r="F74" i="37"/>
  <c r="G74" i="37"/>
  <c r="H74" i="37"/>
  <c r="Q27" i="26" l="1"/>
  <c r="H135" i="37" l="1"/>
  <c r="G135" i="37"/>
  <c r="F135" i="37"/>
  <c r="B134" i="37"/>
  <c r="H125" i="37"/>
  <c r="L130" i="26" s="1"/>
  <c r="L121" i="26" s="1"/>
  <c r="G125" i="37"/>
  <c r="L77" i="26" s="1"/>
  <c r="L68" i="26" s="1"/>
  <c r="F125" i="37"/>
  <c r="X22" i="26" s="1"/>
  <c r="X13" i="26" s="1"/>
  <c r="X27" i="26" s="1"/>
  <c r="B124" i="37"/>
  <c r="C13" i="12"/>
  <c r="C12" i="12" s="1"/>
  <c r="W22" i="26" l="1"/>
  <c r="U77" i="26"/>
  <c r="U68" i="26" s="1"/>
  <c r="U82" i="26" s="1"/>
  <c r="U130" i="26"/>
  <c r="U121" i="26" s="1"/>
  <c r="U135" i="26" s="1"/>
  <c r="C22" i="12"/>
  <c r="W13" i="26" l="1"/>
  <c r="W27" i="26" s="1"/>
  <c r="I51" i="31"/>
  <c r="E13" i="12" l="1"/>
  <c r="K51" i="31" l="1"/>
  <c r="J51" i="31"/>
  <c r="K121" i="7" l="1"/>
  <c r="J121" i="7"/>
  <c r="K120" i="7"/>
  <c r="I121" i="7"/>
  <c r="I119" i="7" s="1"/>
  <c r="K25" i="7"/>
  <c r="J25" i="7"/>
  <c r="J23" i="7" s="1"/>
  <c r="I48" i="7" l="1"/>
  <c r="I47" i="7"/>
  <c r="C7" i="7"/>
  <c r="D210" i="7" l="1"/>
  <c r="I212" i="7"/>
  <c r="I211" i="7"/>
  <c r="J9" i="7"/>
  <c r="K9" i="7"/>
  <c r="I9" i="7"/>
  <c r="K8" i="7"/>
  <c r="J8" i="7"/>
  <c r="I8" i="7"/>
  <c r="F32" i="37" l="1"/>
  <c r="K55" i="43"/>
  <c r="N68" i="26" l="1"/>
  <c r="N82" i="26" s="1"/>
  <c r="S121" i="26"/>
  <c r="S135" i="26" s="1"/>
  <c r="E22" i="26"/>
  <c r="G14" i="26"/>
  <c r="C163" i="46"/>
  <c r="F163" i="46" s="1"/>
  <c r="F162" i="46" s="1"/>
  <c r="H109" i="37"/>
  <c r="G109" i="37"/>
  <c r="F109" i="37"/>
  <c r="B108" i="37"/>
  <c r="I64" i="42"/>
  <c r="K8" i="8"/>
  <c r="I20" i="1" s="1"/>
  <c r="J8" i="8"/>
  <c r="G20" i="1" s="1"/>
  <c r="K8" i="50"/>
  <c r="J8" i="50"/>
  <c r="F64" i="1" s="1"/>
  <c r="F61" i="1" s="1"/>
  <c r="I8" i="50"/>
  <c r="D64" i="1" s="1"/>
  <c r="D61" i="1" s="1"/>
  <c r="N121" i="26"/>
  <c r="E163" i="46"/>
  <c r="H163" i="46" s="1"/>
  <c r="H162" i="46" s="1"/>
  <c r="D163" i="46"/>
  <c r="G163" i="46" s="1"/>
  <c r="G162" i="46" s="1"/>
  <c r="K161" i="7"/>
  <c r="K160" i="7"/>
  <c r="J161" i="7"/>
  <c r="J160" i="7"/>
  <c r="H17" i="1"/>
  <c r="D11" i="6"/>
  <c r="D17" i="1"/>
  <c r="D10" i="1" s="1"/>
  <c r="Q121" i="26"/>
  <c r="Q135" i="26" s="1"/>
  <c r="C125" i="26"/>
  <c r="L135" i="26"/>
  <c r="L82" i="26"/>
  <c r="G122" i="26"/>
  <c r="G69" i="26"/>
  <c r="G32" i="37"/>
  <c r="E77" i="26" s="1"/>
  <c r="H32" i="37"/>
  <c r="E130" i="26" s="1"/>
  <c r="G20" i="37"/>
  <c r="L9" i="48"/>
  <c r="D42" i="1" s="1"/>
  <c r="F122" i="26"/>
  <c r="F69" i="26"/>
  <c r="F14" i="26"/>
  <c r="H86" i="46"/>
  <c r="C13" i="6"/>
  <c r="G92" i="44"/>
  <c r="F92" i="44"/>
  <c r="E92" i="44"/>
  <c r="K91" i="44"/>
  <c r="I91" i="44"/>
  <c r="B91" i="44"/>
  <c r="K90" i="44"/>
  <c r="I90" i="44"/>
  <c r="K89" i="44"/>
  <c r="I89" i="44"/>
  <c r="K88" i="44"/>
  <c r="I88" i="44"/>
  <c r="B88" i="44"/>
  <c r="B89" i="44" s="1"/>
  <c r="K87" i="44"/>
  <c r="I87" i="44"/>
  <c r="G79" i="44"/>
  <c r="F79" i="44"/>
  <c r="E79" i="44"/>
  <c r="K78" i="44"/>
  <c r="I78" i="44"/>
  <c r="K77" i="44"/>
  <c r="I77" i="44"/>
  <c r="K76" i="44"/>
  <c r="I76" i="44"/>
  <c r="K75" i="44"/>
  <c r="I75" i="44"/>
  <c r="K74" i="44"/>
  <c r="I74" i="44"/>
  <c r="K73" i="44"/>
  <c r="I73" i="44"/>
  <c r="B73" i="44"/>
  <c r="B74" i="44" s="1"/>
  <c r="B75" i="44" s="1"/>
  <c r="B76" i="44" s="1"/>
  <c r="B77" i="44" s="1"/>
  <c r="B78" i="44" s="1"/>
  <c r="K72" i="44"/>
  <c r="I72" i="44"/>
  <c r="G63" i="44"/>
  <c r="F63" i="44"/>
  <c r="E63" i="44"/>
  <c r="K62" i="44"/>
  <c r="I62" i="44"/>
  <c r="K61" i="44"/>
  <c r="I61" i="44"/>
  <c r="K60" i="44"/>
  <c r="I60" i="44"/>
  <c r="B60" i="44"/>
  <c r="B61" i="44" s="1"/>
  <c r="K59" i="44"/>
  <c r="I59" i="44"/>
  <c r="G51" i="44"/>
  <c r="F51" i="44"/>
  <c r="E51" i="44"/>
  <c r="K50" i="44"/>
  <c r="I50" i="44"/>
  <c r="K49" i="44"/>
  <c r="I49" i="44"/>
  <c r="K48" i="44"/>
  <c r="I48" i="44"/>
  <c r="K47" i="44"/>
  <c r="I47" i="44"/>
  <c r="K46" i="44"/>
  <c r="I46" i="44"/>
  <c r="B46" i="44"/>
  <c r="K45" i="44"/>
  <c r="I45" i="44"/>
  <c r="K44" i="44"/>
  <c r="I44" i="44"/>
  <c r="B44" i="44"/>
  <c r="K43" i="44"/>
  <c r="I43" i="44"/>
  <c r="D43" i="44" s="1"/>
  <c r="K42" i="44"/>
  <c r="I42" i="44"/>
  <c r="K41" i="44"/>
  <c r="I41" i="44"/>
  <c r="K40" i="44"/>
  <c r="I40" i="44"/>
  <c r="K39" i="44"/>
  <c r="I39" i="44"/>
  <c r="B39" i="44"/>
  <c r="B40" i="44" s="1"/>
  <c r="B41" i="44" s="1"/>
  <c r="K38" i="44"/>
  <c r="I38" i="44"/>
  <c r="G30" i="44"/>
  <c r="F30" i="44"/>
  <c r="E30" i="44"/>
  <c r="K29" i="44"/>
  <c r="I29" i="44"/>
  <c r="K28" i="44"/>
  <c r="I28" i="44"/>
  <c r="D28" i="44" s="1"/>
  <c r="L28" i="44" s="1"/>
  <c r="K27" i="44"/>
  <c r="I27" i="44"/>
  <c r="L27" i="44" s="1"/>
  <c r="B27" i="44"/>
  <c r="B28" i="44" s="1"/>
  <c r="K26" i="44"/>
  <c r="K30" i="44" s="1"/>
  <c r="I26" i="44"/>
  <c r="G18" i="44"/>
  <c r="F18" i="44"/>
  <c r="E18" i="44"/>
  <c r="K17" i="44"/>
  <c r="I17" i="44"/>
  <c r="K16" i="44"/>
  <c r="I16" i="44"/>
  <c r="D16" i="44" s="1"/>
  <c r="K15" i="44"/>
  <c r="I15" i="44"/>
  <c r="D15" i="44" s="1"/>
  <c r="K14" i="44"/>
  <c r="I14" i="44"/>
  <c r="K13" i="44"/>
  <c r="I13" i="44"/>
  <c r="K12" i="44"/>
  <c r="I12" i="44"/>
  <c r="D12" i="44" s="1"/>
  <c r="K11" i="44"/>
  <c r="I11" i="44"/>
  <c r="K10" i="44"/>
  <c r="I10" i="44"/>
  <c r="K9" i="44"/>
  <c r="I9" i="44"/>
  <c r="B9" i="44"/>
  <c r="B10" i="44"/>
  <c r="B11" i="44" s="1"/>
  <c r="B12" i="44" s="1"/>
  <c r="B13" i="44" s="1"/>
  <c r="B14" i="44" s="1"/>
  <c r="B15" i="44" s="1"/>
  <c r="B16" i="44" s="1"/>
  <c r="K8" i="44"/>
  <c r="I8" i="44"/>
  <c r="G100" i="43"/>
  <c r="F100" i="43"/>
  <c r="E100" i="43"/>
  <c r="K99" i="43"/>
  <c r="I99" i="43"/>
  <c r="B99" i="43"/>
  <c r="K98" i="43"/>
  <c r="I98" i="43"/>
  <c r="K97" i="43"/>
  <c r="I97" i="43"/>
  <c r="K96" i="43"/>
  <c r="I96" i="43"/>
  <c r="B96" i="43"/>
  <c r="B97" i="43" s="1"/>
  <c r="K95" i="43"/>
  <c r="I95" i="43"/>
  <c r="G87" i="43"/>
  <c r="F87" i="43"/>
  <c r="E87" i="43"/>
  <c r="K86" i="43"/>
  <c r="I86" i="43"/>
  <c r="K85" i="43"/>
  <c r="I85" i="43"/>
  <c r="K84" i="43"/>
  <c r="I84" i="43"/>
  <c r="K83" i="43"/>
  <c r="I83" i="43"/>
  <c r="K82" i="43"/>
  <c r="I82" i="43"/>
  <c r="K81" i="43"/>
  <c r="I81" i="43"/>
  <c r="B81" i="43"/>
  <c r="B82" i="43" s="1"/>
  <c r="B83" i="43" s="1"/>
  <c r="B84" i="43" s="1"/>
  <c r="B85" i="43" s="1"/>
  <c r="B86" i="43" s="1"/>
  <c r="K80" i="43"/>
  <c r="I80" i="43"/>
  <c r="G69" i="43"/>
  <c r="F69" i="43"/>
  <c r="E69" i="43"/>
  <c r="K68" i="43"/>
  <c r="I68" i="43"/>
  <c r="K67" i="43"/>
  <c r="I67" i="43"/>
  <c r="K66" i="43"/>
  <c r="I66" i="43"/>
  <c r="B66" i="43"/>
  <c r="B67" i="43" s="1"/>
  <c r="K65" i="43"/>
  <c r="I65" i="43"/>
  <c r="G57" i="43"/>
  <c r="F57" i="43"/>
  <c r="E57" i="43"/>
  <c r="K56" i="43"/>
  <c r="I56" i="43"/>
  <c r="I55" i="43"/>
  <c r="D55" i="43" s="1"/>
  <c r="K54" i="43"/>
  <c r="I54" i="43"/>
  <c r="K53" i="43"/>
  <c r="I53" i="43"/>
  <c r="K52" i="43"/>
  <c r="I52" i="43"/>
  <c r="B52" i="43"/>
  <c r="K51" i="43"/>
  <c r="I51" i="43"/>
  <c r="K50" i="43"/>
  <c r="I50" i="43"/>
  <c r="B50" i="43"/>
  <c r="K49" i="43"/>
  <c r="I49" i="43"/>
  <c r="K48" i="43"/>
  <c r="I48" i="43"/>
  <c r="K47" i="43"/>
  <c r="I47" i="43"/>
  <c r="K46" i="43"/>
  <c r="I46" i="43"/>
  <c r="K45" i="43"/>
  <c r="I45" i="43"/>
  <c r="B45" i="43"/>
  <c r="B46" i="43" s="1"/>
  <c r="B47" i="43" s="1"/>
  <c r="K44" i="43"/>
  <c r="G30" i="43"/>
  <c r="F30" i="43"/>
  <c r="E30" i="43"/>
  <c r="K29" i="43"/>
  <c r="I29" i="43"/>
  <c r="L29" i="43" s="1"/>
  <c r="K28" i="43"/>
  <c r="I28" i="43"/>
  <c r="K27" i="43"/>
  <c r="I27" i="43"/>
  <c r="L27" i="43" s="1"/>
  <c r="B27" i="43"/>
  <c r="B28" i="43" s="1"/>
  <c r="K26" i="43"/>
  <c r="I26" i="43"/>
  <c r="G18" i="43"/>
  <c r="F18" i="43"/>
  <c r="E18" i="43"/>
  <c r="K17" i="43"/>
  <c r="I17" i="43"/>
  <c r="D17" i="43" s="1"/>
  <c r="L17" i="43" s="1"/>
  <c r="L17" i="44" s="1"/>
  <c r="K16" i="43"/>
  <c r="I16" i="43"/>
  <c r="K15" i="43"/>
  <c r="I15" i="43"/>
  <c r="D15" i="43" s="1"/>
  <c r="L15" i="43" s="1"/>
  <c r="L15" i="44" s="1"/>
  <c r="K14" i="43"/>
  <c r="I14" i="43"/>
  <c r="K13" i="43"/>
  <c r="I13" i="43"/>
  <c r="D13" i="43" s="1"/>
  <c r="L13" i="43" s="1"/>
  <c r="L13" i="44" s="1"/>
  <c r="K12" i="43"/>
  <c r="I12" i="43"/>
  <c r="K11" i="43"/>
  <c r="I11" i="43"/>
  <c r="K10" i="43"/>
  <c r="I10" i="43"/>
  <c r="K9" i="43"/>
  <c r="I9" i="43"/>
  <c r="B9" i="43"/>
  <c r="B10" i="43" s="1"/>
  <c r="B11" i="43" s="1"/>
  <c r="B12" i="43" s="1"/>
  <c r="B13" i="43" s="1"/>
  <c r="B14" i="43" s="1"/>
  <c r="B15" i="43" s="1"/>
  <c r="B16" i="43" s="1"/>
  <c r="K8" i="43"/>
  <c r="I8" i="43"/>
  <c r="E12" i="12"/>
  <c r="E22" i="12" s="1"/>
  <c r="D10" i="44"/>
  <c r="I92" i="44"/>
  <c r="D88" i="44"/>
  <c r="D59" i="44"/>
  <c r="L59" i="44" s="1"/>
  <c r="L29" i="44"/>
  <c r="D78" i="44"/>
  <c r="D8" i="44"/>
  <c r="J213" i="7"/>
  <c r="K213" i="7"/>
  <c r="E210" i="7"/>
  <c r="J199" i="7"/>
  <c r="J202" i="7" s="1"/>
  <c r="K199" i="7"/>
  <c r="K202" i="7" s="1"/>
  <c r="D199" i="7"/>
  <c r="E199" i="7"/>
  <c r="J187" i="7"/>
  <c r="K187" i="7"/>
  <c r="J184" i="7"/>
  <c r="J183" i="7" s="1"/>
  <c r="K184" i="7"/>
  <c r="K183" i="7"/>
  <c r="J180" i="7"/>
  <c r="K180" i="7"/>
  <c r="J178" i="7"/>
  <c r="K178" i="7"/>
  <c r="J165" i="7"/>
  <c r="K165" i="7"/>
  <c r="J162" i="7"/>
  <c r="K162" i="7"/>
  <c r="K159" i="7"/>
  <c r="D159" i="7"/>
  <c r="E159" i="7"/>
  <c r="J147" i="7"/>
  <c r="K147" i="7"/>
  <c r="J144" i="7"/>
  <c r="J143" i="7" s="1"/>
  <c r="K144" i="7"/>
  <c r="K143" i="7" s="1"/>
  <c r="J140" i="7"/>
  <c r="K140" i="7"/>
  <c r="J138" i="7"/>
  <c r="K138" i="7"/>
  <c r="J125" i="7"/>
  <c r="K125" i="7"/>
  <c r="J122" i="7"/>
  <c r="K122" i="7"/>
  <c r="J119" i="7"/>
  <c r="K119" i="7"/>
  <c r="D119" i="7"/>
  <c r="E119" i="7"/>
  <c r="J107" i="7"/>
  <c r="K107" i="7"/>
  <c r="J104" i="7"/>
  <c r="J103" i="7" s="1"/>
  <c r="K104" i="7"/>
  <c r="K103" i="7"/>
  <c r="J100" i="7"/>
  <c r="K100" i="7"/>
  <c r="J98" i="7"/>
  <c r="K98" i="7"/>
  <c r="J85" i="7"/>
  <c r="K85" i="7"/>
  <c r="J82" i="7"/>
  <c r="K82" i="7"/>
  <c r="J79" i="7"/>
  <c r="K79" i="7"/>
  <c r="D79" i="7"/>
  <c r="E79" i="7"/>
  <c r="J67" i="7"/>
  <c r="K67" i="7"/>
  <c r="J64" i="7"/>
  <c r="J63" i="7" s="1"/>
  <c r="K64" i="7"/>
  <c r="K63" i="7" s="1"/>
  <c r="J60" i="7"/>
  <c r="K60" i="7"/>
  <c r="J58" i="7"/>
  <c r="K58" i="7"/>
  <c r="J45" i="7"/>
  <c r="K45" i="7"/>
  <c r="J43" i="7"/>
  <c r="K43" i="7"/>
  <c r="J40" i="7"/>
  <c r="J49" i="7" s="1"/>
  <c r="K40" i="7"/>
  <c r="D40" i="7"/>
  <c r="E40" i="7"/>
  <c r="J29" i="7"/>
  <c r="K29" i="7"/>
  <c r="J26" i="7"/>
  <c r="K26" i="7"/>
  <c r="J32" i="7"/>
  <c r="K23" i="7"/>
  <c r="D23" i="7"/>
  <c r="E23" i="7"/>
  <c r="J13" i="7"/>
  <c r="K13" i="7"/>
  <c r="J10" i="7"/>
  <c r="K10" i="7"/>
  <c r="J7" i="7"/>
  <c r="J15" i="7" s="1"/>
  <c r="K7" i="7"/>
  <c r="D7" i="7"/>
  <c r="E7" i="7"/>
  <c r="I213" i="7"/>
  <c r="C210" i="7"/>
  <c r="I199" i="7"/>
  <c r="I202" i="7" s="1"/>
  <c r="C199" i="7"/>
  <c r="I187" i="7"/>
  <c r="I184" i="7"/>
  <c r="I183" i="7" s="1"/>
  <c r="I180" i="7"/>
  <c r="I178" i="7"/>
  <c r="I159" i="7"/>
  <c r="C159" i="7"/>
  <c r="I165" i="7"/>
  <c r="I162" i="7"/>
  <c r="I147" i="7"/>
  <c r="I144" i="7"/>
  <c r="I143" i="7" s="1"/>
  <c r="I140" i="7"/>
  <c r="I138" i="7"/>
  <c r="I125" i="7"/>
  <c r="I122" i="7"/>
  <c r="I104" i="7"/>
  <c r="I103" i="7" s="1"/>
  <c r="I107" i="7"/>
  <c r="I100" i="7"/>
  <c r="I98" i="7"/>
  <c r="I85" i="7"/>
  <c r="I82" i="7"/>
  <c r="I89" i="7" s="1"/>
  <c r="C79" i="7"/>
  <c r="I67" i="7"/>
  <c r="I58" i="7"/>
  <c r="I64" i="7"/>
  <c r="I63" i="7" s="1"/>
  <c r="I60" i="7"/>
  <c r="I45" i="7"/>
  <c r="I43" i="7"/>
  <c r="C40" i="7"/>
  <c r="I29" i="7"/>
  <c r="I23" i="7"/>
  <c r="I26" i="7"/>
  <c r="C23" i="7"/>
  <c r="I13" i="7"/>
  <c r="I10" i="7"/>
  <c r="I7" i="7"/>
  <c r="K111" i="7"/>
  <c r="J89" i="7"/>
  <c r="J71" i="7"/>
  <c r="S13" i="26"/>
  <c r="S27" i="26" s="1"/>
  <c r="I8" i="52"/>
  <c r="I9" i="52" s="1"/>
  <c r="J8" i="52"/>
  <c r="J9" i="52" s="1"/>
  <c r="K8" i="52"/>
  <c r="K9" i="52" s="1"/>
  <c r="M9" i="48"/>
  <c r="F42" i="1" s="1"/>
  <c r="N9" i="48"/>
  <c r="H42" i="1" s="1"/>
  <c r="I8" i="42"/>
  <c r="K8" i="42"/>
  <c r="B9" i="42"/>
  <c r="B10" i="42" s="1"/>
  <c r="B11" i="42" s="1"/>
  <c r="B12" i="42" s="1"/>
  <c r="B13" i="42" s="1"/>
  <c r="B14" i="42" s="1"/>
  <c r="B15" i="42" s="1"/>
  <c r="B16" i="42" s="1"/>
  <c r="I9" i="42"/>
  <c r="K9" i="42"/>
  <c r="I10" i="42"/>
  <c r="K10" i="42"/>
  <c r="I11" i="42"/>
  <c r="K11" i="42"/>
  <c r="I12" i="42"/>
  <c r="K12" i="42"/>
  <c r="I13" i="42"/>
  <c r="K13" i="42"/>
  <c r="I14" i="42"/>
  <c r="K14" i="42"/>
  <c r="I15" i="42"/>
  <c r="K15" i="42"/>
  <c r="I16" i="42"/>
  <c r="K16" i="42"/>
  <c r="K17" i="42"/>
  <c r="D17" i="42" s="1"/>
  <c r="L17" i="42" s="1"/>
  <c r="E18" i="42"/>
  <c r="F18" i="42"/>
  <c r="I26" i="42"/>
  <c r="K26" i="42"/>
  <c r="B27" i="42"/>
  <c r="B28" i="42" s="1"/>
  <c r="I27" i="42"/>
  <c r="K27" i="42"/>
  <c r="I28" i="42"/>
  <c r="K28" i="42"/>
  <c r="I29" i="42"/>
  <c r="K29" i="42"/>
  <c r="E30" i="42"/>
  <c r="F30" i="42"/>
  <c r="G30" i="42"/>
  <c r="I39" i="42"/>
  <c r="K39" i="42"/>
  <c r="B40" i="42"/>
  <c r="B41" i="42" s="1"/>
  <c r="B42" i="42" s="1"/>
  <c r="I40" i="42"/>
  <c r="K40" i="42"/>
  <c r="I41" i="42"/>
  <c r="K41" i="42"/>
  <c r="I42" i="42"/>
  <c r="K42" i="42"/>
  <c r="I43" i="42"/>
  <c r="K43" i="42"/>
  <c r="I44" i="42"/>
  <c r="K44" i="42"/>
  <c r="B45" i="42"/>
  <c r="I45" i="42"/>
  <c r="K45" i="42"/>
  <c r="I46" i="42"/>
  <c r="K46" i="42"/>
  <c r="B47" i="42"/>
  <c r="I47" i="42"/>
  <c r="K47" i="42"/>
  <c r="I48" i="42"/>
  <c r="K48" i="42"/>
  <c r="I49" i="42"/>
  <c r="K49" i="42"/>
  <c r="I50" i="42"/>
  <c r="K50" i="42"/>
  <c r="I51" i="42"/>
  <c r="K51" i="42"/>
  <c r="E52" i="42"/>
  <c r="F52" i="42"/>
  <c r="G52" i="42"/>
  <c r="I61" i="42"/>
  <c r="K61" i="42"/>
  <c r="B62" i="42"/>
  <c r="B63" i="42" s="1"/>
  <c r="K62" i="42"/>
  <c r="I63" i="42"/>
  <c r="K63" i="42"/>
  <c r="E65" i="42"/>
  <c r="F65" i="42"/>
  <c r="I79" i="42"/>
  <c r="K79" i="42"/>
  <c r="B80" i="42"/>
  <c r="B81" i="42" s="1"/>
  <c r="B82" i="42" s="1"/>
  <c r="B83" i="42" s="1"/>
  <c r="B84" i="42" s="1"/>
  <c r="B85" i="42" s="1"/>
  <c r="I80" i="42"/>
  <c r="K80" i="42"/>
  <c r="I81" i="42"/>
  <c r="K81" i="42"/>
  <c r="I82" i="42"/>
  <c r="K82" i="42"/>
  <c r="I83" i="42"/>
  <c r="K83" i="42"/>
  <c r="I84" i="42"/>
  <c r="K84" i="42"/>
  <c r="I85" i="42"/>
  <c r="K85" i="42"/>
  <c r="E86" i="42"/>
  <c r="F86" i="42"/>
  <c r="G86" i="42"/>
  <c r="I94" i="42"/>
  <c r="K94" i="42"/>
  <c r="B95" i="42"/>
  <c r="B96" i="42" s="1"/>
  <c r="I95" i="42"/>
  <c r="K95" i="42"/>
  <c r="I96" i="42"/>
  <c r="K96" i="42"/>
  <c r="I97" i="42"/>
  <c r="K97" i="42"/>
  <c r="B98" i="42"/>
  <c r="I98" i="42"/>
  <c r="K98" i="42"/>
  <c r="E99" i="42"/>
  <c r="F99" i="42"/>
  <c r="G99" i="42"/>
  <c r="D11" i="42"/>
  <c r="L11" i="42" s="1"/>
  <c r="O68" i="26"/>
  <c r="O82" i="26" s="1"/>
  <c r="O121" i="26"/>
  <c r="O135" i="26" s="1"/>
  <c r="H87" i="37"/>
  <c r="P130" i="26" s="1"/>
  <c r="P121" i="26" s="1"/>
  <c r="P135" i="26" s="1"/>
  <c r="G87" i="37"/>
  <c r="P77" i="26" s="1"/>
  <c r="P68" i="26" s="1"/>
  <c r="P82" i="26" s="1"/>
  <c r="F87" i="37"/>
  <c r="M130" i="26"/>
  <c r="M121" i="26" s="1"/>
  <c r="M77" i="26"/>
  <c r="M68" i="26" s="1"/>
  <c r="M82" i="26" s="1"/>
  <c r="R22" i="26"/>
  <c r="R13" i="26" s="1"/>
  <c r="K39" i="31"/>
  <c r="V127" i="26" s="1"/>
  <c r="V121" i="26" s="1"/>
  <c r="J39" i="31"/>
  <c r="V74" i="26" s="1"/>
  <c r="V68" i="26" s="1"/>
  <c r="I39" i="31"/>
  <c r="H95" i="37"/>
  <c r="T130" i="26" s="1"/>
  <c r="T121" i="26" s="1"/>
  <c r="T135" i="26" s="1"/>
  <c r="G95" i="37"/>
  <c r="T77" i="26" s="1"/>
  <c r="T68" i="26" s="1"/>
  <c r="T82" i="26" s="1"/>
  <c r="F95" i="37"/>
  <c r="H66" i="37"/>
  <c r="H130" i="26" s="1"/>
  <c r="G66" i="37"/>
  <c r="H77" i="26" s="1"/>
  <c r="F66" i="37"/>
  <c r="H22" i="26" s="1"/>
  <c r="H55" i="37"/>
  <c r="G55" i="37"/>
  <c r="F55" i="37"/>
  <c r="B53" i="37"/>
  <c r="B54" i="37" s="1"/>
  <c r="H42" i="37"/>
  <c r="F130" i="26" s="1"/>
  <c r="G42" i="37"/>
  <c r="F77" i="26" s="1"/>
  <c r="F42" i="37"/>
  <c r="F22" i="26" s="1"/>
  <c r="B40" i="37"/>
  <c r="B41" i="37" s="1"/>
  <c r="H20" i="37"/>
  <c r="B9" i="37"/>
  <c r="B10" i="37" s="1"/>
  <c r="B11" i="37" s="1"/>
  <c r="B12" i="37" s="1"/>
  <c r="B13" i="37" s="1"/>
  <c r="B14" i="37" s="1"/>
  <c r="B16" i="37" s="1"/>
  <c r="B18" i="37"/>
  <c r="B19" i="37" s="1"/>
  <c r="J9" i="28"/>
  <c r="K9" i="28"/>
  <c r="I9" i="28"/>
  <c r="M9" i="27"/>
  <c r="N9" i="27"/>
  <c r="E54" i="1"/>
  <c r="E53" i="1" s="1"/>
  <c r="E16" i="1"/>
  <c r="E15" i="1"/>
  <c r="E14" i="1"/>
  <c r="E11" i="1"/>
  <c r="C21" i="26"/>
  <c r="C20" i="26"/>
  <c r="C18" i="26"/>
  <c r="C16" i="26"/>
  <c r="K31" i="31"/>
  <c r="J31" i="31"/>
  <c r="I31" i="31"/>
  <c r="B30" i="31"/>
  <c r="B10" i="31"/>
  <c r="B11" i="31" s="1"/>
  <c r="B12" i="31" s="1"/>
  <c r="B14" i="31"/>
  <c r="B15" i="31" s="1"/>
  <c r="B16" i="31" s="1"/>
  <c r="B17" i="31" s="1"/>
  <c r="B18" i="31" s="1"/>
  <c r="B19" i="31" s="1"/>
  <c r="Y22" i="26" l="1"/>
  <c r="Y13" i="26" s="1"/>
  <c r="F147" i="37"/>
  <c r="I49" i="7"/>
  <c r="I30" i="44"/>
  <c r="K77" i="26"/>
  <c r="K68" i="26" s="1"/>
  <c r="G147" i="37"/>
  <c r="K49" i="7"/>
  <c r="K89" i="7"/>
  <c r="K191" i="7"/>
  <c r="K130" i="26"/>
  <c r="K121" i="26" s="1"/>
  <c r="K135" i="26" s="1"/>
  <c r="H147" i="37"/>
  <c r="V82" i="26"/>
  <c r="V135" i="26"/>
  <c r="F127" i="26"/>
  <c r="F121" i="26" s="1"/>
  <c r="F135" i="26" s="1"/>
  <c r="F19" i="26"/>
  <c r="I30" i="43"/>
  <c r="V22" i="26"/>
  <c r="Q68" i="26"/>
  <c r="Q82" i="26" s="1"/>
  <c r="D11" i="43"/>
  <c r="L11" i="43" s="1"/>
  <c r="L11" i="44" s="1"/>
  <c r="D168" i="46"/>
  <c r="G168" i="46" s="1"/>
  <c r="D47" i="43"/>
  <c r="D49" i="43"/>
  <c r="D175" i="46"/>
  <c r="G175" i="46" s="1"/>
  <c r="G174" i="46" s="1"/>
  <c r="D54" i="43"/>
  <c r="D50" i="44"/>
  <c r="D38" i="44"/>
  <c r="D41" i="44"/>
  <c r="D45" i="44"/>
  <c r="D51" i="42"/>
  <c r="L51" i="42" s="1"/>
  <c r="L56" i="43" s="1"/>
  <c r="L50" i="44" s="1"/>
  <c r="D49" i="42"/>
  <c r="D42" i="42"/>
  <c r="L42" i="42" s="1"/>
  <c r="L47" i="43" s="1"/>
  <c r="L41" i="44" s="1"/>
  <c r="D66" i="43"/>
  <c r="L66" i="43" s="1"/>
  <c r="D68" i="43"/>
  <c r="L68" i="43" s="1"/>
  <c r="D81" i="43"/>
  <c r="D75" i="44"/>
  <c r="D91" i="44"/>
  <c r="D39" i="42"/>
  <c r="L39" i="42" s="1"/>
  <c r="L44" i="43" s="1"/>
  <c r="I111" i="7"/>
  <c r="I169" i="7"/>
  <c r="J129" i="7"/>
  <c r="F74" i="26"/>
  <c r="F68" i="26" s="1"/>
  <c r="I32" i="7"/>
  <c r="I129" i="7"/>
  <c r="I191" i="7"/>
  <c r="K15" i="7"/>
  <c r="K32" i="7"/>
  <c r="J111" i="7"/>
  <c r="D8" i="43"/>
  <c r="L8" i="43" s="1"/>
  <c r="D48" i="43"/>
  <c r="D48" i="44"/>
  <c r="D60" i="44"/>
  <c r="L60" i="44" s="1"/>
  <c r="L63" i="44" s="1"/>
  <c r="I63" i="44"/>
  <c r="R68" i="26"/>
  <c r="I17" i="1"/>
  <c r="I10" i="1" s="1"/>
  <c r="K71" i="7"/>
  <c r="K169" i="7"/>
  <c r="J191" i="7"/>
  <c r="D28" i="43"/>
  <c r="L28" i="43" s="1"/>
  <c r="J159" i="7"/>
  <c r="J169" i="7" s="1"/>
  <c r="I15" i="7"/>
  <c r="I71" i="7"/>
  <c r="D99" i="43"/>
  <c r="K19" i="26"/>
  <c r="K13" i="26" s="1"/>
  <c r="N135" i="26"/>
  <c r="J13" i="26"/>
  <c r="Y27" i="26"/>
  <c r="M135" i="26"/>
  <c r="R27" i="26"/>
  <c r="D62" i="44"/>
  <c r="L62" i="44" s="1"/>
  <c r="K129" i="7"/>
  <c r="P13" i="26"/>
  <c r="E174" i="46"/>
  <c r="E175" i="46"/>
  <c r="H175" i="46" s="1"/>
  <c r="H174" i="46" s="1"/>
  <c r="D11" i="44"/>
  <c r="D13" i="44"/>
  <c r="D17" i="44"/>
  <c r="E168" i="46"/>
  <c r="E171" i="46" s="1"/>
  <c r="H171" i="46" s="1"/>
  <c r="D89" i="44"/>
  <c r="D9" i="43"/>
  <c r="L9" i="43" s="1"/>
  <c r="L9" i="44" s="1"/>
  <c r="D67" i="43"/>
  <c r="L67" i="43" s="1"/>
  <c r="D82" i="43"/>
  <c r="D84" i="43"/>
  <c r="D86" i="43"/>
  <c r="D10" i="43"/>
  <c r="D12" i="43"/>
  <c r="L12" i="43" s="1"/>
  <c r="L12" i="44" s="1"/>
  <c r="D50" i="43"/>
  <c r="D56" i="43"/>
  <c r="D85" i="43"/>
  <c r="D42" i="44"/>
  <c r="D8" i="42"/>
  <c r="L8" i="42" s="1"/>
  <c r="D52" i="43"/>
  <c r="D53" i="43"/>
  <c r="C174" i="46"/>
  <c r="D49" i="44"/>
  <c r="I51" i="44"/>
  <c r="D47" i="44"/>
  <c r="D46" i="44"/>
  <c r="D44" i="44"/>
  <c r="K51" i="44"/>
  <c r="D40" i="44"/>
  <c r="D39" i="44"/>
  <c r="D51" i="43"/>
  <c r="K57" i="43"/>
  <c r="K30" i="43"/>
  <c r="J121" i="26"/>
  <c r="J135" i="26" s="1"/>
  <c r="J68" i="26"/>
  <c r="J82" i="26" s="1"/>
  <c r="D127" i="26"/>
  <c r="D74" i="26"/>
  <c r="C74" i="26" s="1"/>
  <c r="D14" i="44"/>
  <c r="D14" i="43"/>
  <c r="L14" i="43" s="1"/>
  <c r="L14" i="44" s="1"/>
  <c r="D16" i="43"/>
  <c r="L16" i="43" s="1"/>
  <c r="L16" i="44" s="1"/>
  <c r="K18" i="44"/>
  <c r="I18" i="44"/>
  <c r="K18" i="43"/>
  <c r="D9" i="44"/>
  <c r="I18" i="43"/>
  <c r="D61" i="44"/>
  <c r="L61" i="44" s="1"/>
  <c r="K63" i="44"/>
  <c r="I69" i="43"/>
  <c r="K69" i="43"/>
  <c r="D65" i="43"/>
  <c r="L65" i="43" s="1"/>
  <c r="D77" i="44"/>
  <c r="D76" i="44"/>
  <c r="I79" i="44"/>
  <c r="D74" i="44"/>
  <c r="D73" i="44"/>
  <c r="I87" i="43"/>
  <c r="K87" i="43"/>
  <c r="D72" i="44"/>
  <c r="D83" i="43"/>
  <c r="K79" i="44"/>
  <c r="I121" i="26"/>
  <c r="I135" i="26" s="1"/>
  <c r="I68" i="26"/>
  <c r="I82" i="26" s="1"/>
  <c r="D90" i="44"/>
  <c r="I100" i="43"/>
  <c r="E11" i="6"/>
  <c r="H10" i="1"/>
  <c r="C11" i="6"/>
  <c r="C10" i="6" s="1"/>
  <c r="T22" i="26"/>
  <c r="T13" i="26" s="1"/>
  <c r="U13" i="26"/>
  <c r="U27" i="26" s="1"/>
  <c r="H68" i="26"/>
  <c r="H82" i="26" s="1"/>
  <c r="D27" i="42"/>
  <c r="L27" i="42" s="1"/>
  <c r="D9" i="42"/>
  <c r="L9" i="42" s="1"/>
  <c r="D22" i="26"/>
  <c r="D77" i="26"/>
  <c r="N13" i="26"/>
  <c r="N27" i="26" s="1"/>
  <c r="D130" i="26"/>
  <c r="C130" i="26" s="1"/>
  <c r="C14" i="26"/>
  <c r="H121" i="26"/>
  <c r="C69" i="26"/>
  <c r="G13" i="26"/>
  <c r="G27" i="26" s="1"/>
  <c r="C122" i="26"/>
  <c r="G121" i="26"/>
  <c r="G135" i="26" s="1"/>
  <c r="D15" i="42"/>
  <c r="L15" i="42" s="1"/>
  <c r="D28" i="42"/>
  <c r="L28" i="42" s="1"/>
  <c r="D46" i="42"/>
  <c r="L46" i="42" s="1"/>
  <c r="L51" i="43" s="1"/>
  <c r="L45" i="44" s="1"/>
  <c r="D98" i="42"/>
  <c r="L98" i="42" s="1"/>
  <c r="L99" i="43" s="1"/>
  <c r="L91" i="44" s="1"/>
  <c r="D79" i="42"/>
  <c r="L79" i="42" s="1"/>
  <c r="L80" i="43" s="1"/>
  <c r="L49" i="42"/>
  <c r="L54" i="43" s="1"/>
  <c r="L48" i="44" s="1"/>
  <c r="D47" i="42"/>
  <c r="L47" i="42" s="1"/>
  <c r="L52" i="43" s="1"/>
  <c r="L46" i="44" s="1"/>
  <c r="D44" i="42"/>
  <c r="L44" i="42" s="1"/>
  <c r="L49" i="43" s="1"/>
  <c r="L43" i="44" s="1"/>
  <c r="D40" i="42"/>
  <c r="D29" i="42"/>
  <c r="L29" i="42" s="1"/>
  <c r="D94" i="42"/>
  <c r="L94" i="42" s="1"/>
  <c r="L95" i="43" s="1"/>
  <c r="D14" i="42"/>
  <c r="L14" i="42" s="1"/>
  <c r="D12" i="42"/>
  <c r="L12" i="42" s="1"/>
  <c r="D41" i="42"/>
  <c r="K30" i="42"/>
  <c r="D96" i="42"/>
  <c r="L96" i="42" s="1"/>
  <c r="L97" i="43" s="1"/>
  <c r="L89" i="44" s="1"/>
  <c r="K99" i="42"/>
  <c r="K64" i="42"/>
  <c r="D64" i="42" s="1"/>
  <c r="L64" i="42" s="1"/>
  <c r="D61" i="42"/>
  <c r="D26" i="42"/>
  <c r="G65" i="42"/>
  <c r="D97" i="42"/>
  <c r="L97" i="42" s="1"/>
  <c r="L98" i="43" s="1"/>
  <c r="L90" i="44" s="1"/>
  <c r="D95" i="42"/>
  <c r="L95" i="42" s="1"/>
  <c r="L96" i="43" s="1"/>
  <c r="L88" i="44" s="1"/>
  <c r="D63" i="42"/>
  <c r="D62" i="42"/>
  <c r="D13" i="42"/>
  <c r="L13" i="42" s="1"/>
  <c r="D84" i="42"/>
  <c r="L84" i="42" s="1"/>
  <c r="L85" i="43" s="1"/>
  <c r="L77" i="44" s="1"/>
  <c r="K86" i="42"/>
  <c r="K18" i="42"/>
  <c r="D83" i="42"/>
  <c r="L83" i="42" s="1"/>
  <c r="L84" i="43" s="1"/>
  <c r="L76" i="44" s="1"/>
  <c r="C175" i="46"/>
  <c r="I18" i="42"/>
  <c r="C171" i="46"/>
  <c r="F171" i="46" s="1"/>
  <c r="D82" i="42"/>
  <c r="L82" i="42" s="1"/>
  <c r="L83" i="43" s="1"/>
  <c r="L75" i="44" s="1"/>
  <c r="D80" i="42"/>
  <c r="L80" i="42" s="1"/>
  <c r="L81" i="43" s="1"/>
  <c r="L73" i="44" s="1"/>
  <c r="D50" i="42"/>
  <c r="L50" i="42" s="1"/>
  <c r="L55" i="43" s="1"/>
  <c r="L49" i="44" s="1"/>
  <c r="D48" i="42"/>
  <c r="L48" i="42" s="1"/>
  <c r="L53" i="43" s="1"/>
  <c r="L47" i="44" s="1"/>
  <c r="D43" i="42"/>
  <c r="L43" i="42" s="1"/>
  <c r="L48" i="43" s="1"/>
  <c r="L42" i="44" s="1"/>
  <c r="I52" i="42"/>
  <c r="C168" i="46"/>
  <c r="F168" i="46" s="1"/>
  <c r="D85" i="42"/>
  <c r="D81" i="42"/>
  <c r="L81" i="42" s="1"/>
  <c r="L82" i="43" s="1"/>
  <c r="L74" i="44" s="1"/>
  <c r="D45" i="42"/>
  <c r="L45" i="42" s="1"/>
  <c r="L50" i="43" s="1"/>
  <c r="L44" i="44" s="1"/>
  <c r="D16" i="42"/>
  <c r="L16" i="42" s="1"/>
  <c r="D10" i="42"/>
  <c r="L10" i="42" s="1"/>
  <c r="K82" i="26"/>
  <c r="I57" i="43"/>
  <c r="K92" i="44"/>
  <c r="D98" i="43"/>
  <c r="K100" i="43"/>
  <c r="G68" i="26"/>
  <c r="L61" i="42"/>
  <c r="L65" i="42" s="1"/>
  <c r="D19" i="26"/>
  <c r="M13" i="26"/>
  <c r="M27" i="26" s="1"/>
  <c r="I86" i="42"/>
  <c r="I30" i="42"/>
  <c r="D30" i="43"/>
  <c r="L26" i="43"/>
  <c r="L10" i="43"/>
  <c r="L10" i="44" s="1"/>
  <c r="L26" i="44"/>
  <c r="L30" i="44" s="1"/>
  <c r="D30" i="44"/>
  <c r="H13" i="26"/>
  <c r="H27" i="26" s="1"/>
  <c r="I13" i="26"/>
  <c r="I27" i="26" s="1"/>
  <c r="K52" i="42"/>
  <c r="I99" i="42"/>
  <c r="I65" i="42"/>
  <c r="H168" i="46"/>
  <c r="D80" i="43"/>
  <c r="D87" i="44"/>
  <c r="D13" i="6"/>
  <c r="E13" i="6"/>
  <c r="E121" i="26" l="1"/>
  <c r="E135" i="26" s="1"/>
  <c r="L30" i="43"/>
  <c r="D31" i="46" s="1"/>
  <c r="J217" i="7"/>
  <c r="I217" i="7"/>
  <c r="L100" i="43"/>
  <c r="L92" i="44" s="1"/>
  <c r="L87" i="44"/>
  <c r="L69" i="43"/>
  <c r="D75" i="46" s="1"/>
  <c r="L18" i="42"/>
  <c r="L72" i="44"/>
  <c r="L8" i="44"/>
  <c r="L38" i="44"/>
  <c r="L51" i="44" s="1"/>
  <c r="C19" i="26"/>
  <c r="E68" i="26"/>
  <c r="E82" i="26" s="1"/>
  <c r="R121" i="26"/>
  <c r="R135" i="26" s="1"/>
  <c r="F82" i="26"/>
  <c r="C77" i="26"/>
  <c r="C127" i="26"/>
  <c r="H135" i="26"/>
  <c r="G82" i="26"/>
  <c r="G17" i="1"/>
  <c r="G10" i="1" s="1"/>
  <c r="D171" i="46"/>
  <c r="D69" i="43"/>
  <c r="L99" i="42"/>
  <c r="F167" i="46"/>
  <c r="V13" i="26"/>
  <c r="S68" i="26"/>
  <c r="R82" i="26"/>
  <c r="C13" i="14"/>
  <c r="E40" i="1" s="1"/>
  <c r="I40" i="1"/>
  <c r="D79" i="44"/>
  <c r="D51" i="44"/>
  <c r="D146" i="46"/>
  <c r="D44" i="43"/>
  <c r="E31" i="46"/>
  <c r="C132" i="26"/>
  <c r="L85" i="42"/>
  <c r="C79" i="26"/>
  <c r="K217" i="7"/>
  <c r="D10" i="6"/>
  <c r="D18" i="6" s="1"/>
  <c r="E13" i="26"/>
  <c r="T27" i="26"/>
  <c r="K27" i="26"/>
  <c r="C18" i="6"/>
  <c r="E75" i="46"/>
  <c r="E87" i="46" s="1"/>
  <c r="P27" i="26"/>
  <c r="L41" i="42"/>
  <c r="L46" i="43" s="1"/>
  <c r="L40" i="44" s="1"/>
  <c r="D46" i="43"/>
  <c r="L40" i="42"/>
  <c r="L45" i="43" s="1"/>
  <c r="L39" i="44" s="1"/>
  <c r="D45" i="43"/>
  <c r="F175" i="46"/>
  <c r="F174" i="46" s="1"/>
  <c r="F177" i="46" s="1"/>
  <c r="C119" i="46"/>
  <c r="C131" i="26"/>
  <c r="C78" i="26"/>
  <c r="D18" i="43"/>
  <c r="D18" i="44"/>
  <c r="D63" i="44"/>
  <c r="E10" i="6"/>
  <c r="E18" i="6" s="1"/>
  <c r="O13" i="26"/>
  <c r="C23" i="26"/>
  <c r="D99" i="42"/>
  <c r="C17" i="26"/>
  <c r="J27" i="26"/>
  <c r="C141" i="46"/>
  <c r="F141" i="46" s="1"/>
  <c r="F140" i="46" s="1"/>
  <c r="C75" i="46"/>
  <c r="C83" i="46" s="1"/>
  <c r="F83" i="46" s="1"/>
  <c r="D65" i="42"/>
  <c r="L26" i="42"/>
  <c r="L30" i="42" s="1"/>
  <c r="C31" i="46" s="1"/>
  <c r="D30" i="42"/>
  <c r="K65" i="42"/>
  <c r="D52" i="42"/>
  <c r="D18" i="42"/>
  <c r="D86" i="42"/>
  <c r="D100" i="43"/>
  <c r="D92" i="44"/>
  <c r="D87" i="43"/>
  <c r="D119" i="46"/>
  <c r="E153" i="46"/>
  <c r="H153" i="46" s="1"/>
  <c r="H152" i="46" s="1"/>
  <c r="H141" i="46"/>
  <c r="H140" i="46" s="1"/>
  <c r="E146" i="46"/>
  <c r="E152" i="46"/>
  <c r="H167" i="46"/>
  <c r="H177" i="46" s="1"/>
  <c r="D8" i="46"/>
  <c r="G8" i="46" s="1"/>
  <c r="D174" i="46"/>
  <c r="G171" i="46"/>
  <c r="G167" i="46" s="1"/>
  <c r="G177" i="46" s="1"/>
  <c r="C22" i="26"/>
  <c r="D80" i="46" l="1"/>
  <c r="D86" i="46"/>
  <c r="G75" i="46"/>
  <c r="G74" i="46" s="1"/>
  <c r="D87" i="46"/>
  <c r="D42" i="46"/>
  <c r="D43" i="46"/>
  <c r="G43" i="46" s="1"/>
  <c r="G42" i="46" s="1"/>
  <c r="D39" i="46"/>
  <c r="G39" i="46" s="1"/>
  <c r="G31" i="46"/>
  <c r="G30" i="46" s="1"/>
  <c r="D36" i="46"/>
  <c r="G36" i="46" s="1"/>
  <c r="L57" i="43"/>
  <c r="L86" i="42"/>
  <c r="L86" i="43"/>
  <c r="D121" i="26"/>
  <c r="H80" i="1" s="1"/>
  <c r="H76" i="1" s="1"/>
  <c r="D68" i="26"/>
  <c r="F80" i="1" s="1"/>
  <c r="I80" i="1"/>
  <c r="H33" i="2" s="1"/>
  <c r="H6" i="2" s="1"/>
  <c r="G80" i="1"/>
  <c r="V27" i="26"/>
  <c r="G140" i="46"/>
  <c r="L52" i="42"/>
  <c r="L109" i="42" s="1"/>
  <c r="S82" i="26"/>
  <c r="D153" i="46"/>
  <c r="G153" i="46" s="1"/>
  <c r="G152" i="46" s="1"/>
  <c r="H75" i="46"/>
  <c r="H74" i="46" s="1"/>
  <c r="E86" i="46"/>
  <c r="E42" i="46"/>
  <c r="E36" i="46"/>
  <c r="H36" i="46" s="1"/>
  <c r="H31" i="46"/>
  <c r="H30" i="46" s="1"/>
  <c r="E39" i="46"/>
  <c r="H39" i="46" s="1"/>
  <c r="E43" i="46"/>
  <c r="H43" i="46" s="1"/>
  <c r="H42" i="46" s="1"/>
  <c r="C8" i="46"/>
  <c r="G35" i="46"/>
  <c r="E80" i="46"/>
  <c r="H80" i="46" s="1"/>
  <c r="O27" i="26"/>
  <c r="E83" i="46"/>
  <c r="H83" i="46" s="1"/>
  <c r="E27" i="26"/>
  <c r="C53" i="46"/>
  <c r="C58" i="46" s="1"/>
  <c r="F58" i="46" s="1"/>
  <c r="C149" i="46"/>
  <c r="F149" i="46" s="1"/>
  <c r="C153" i="46"/>
  <c r="F153" i="46" s="1"/>
  <c r="F152" i="46" s="1"/>
  <c r="C146" i="46"/>
  <c r="F146" i="46" s="1"/>
  <c r="C152" i="46"/>
  <c r="D57" i="43"/>
  <c r="C36" i="46"/>
  <c r="F36" i="46" s="1"/>
  <c r="C42" i="46"/>
  <c r="F31" i="46"/>
  <c r="F30" i="46" s="1"/>
  <c r="C39" i="46"/>
  <c r="F39" i="46" s="1"/>
  <c r="C43" i="46"/>
  <c r="F43" i="46" s="1"/>
  <c r="F42" i="46" s="1"/>
  <c r="C97" i="46"/>
  <c r="C105" i="46" s="1"/>
  <c r="F105" i="46" s="1"/>
  <c r="F75" i="46"/>
  <c r="F74" i="46" s="1"/>
  <c r="C87" i="46"/>
  <c r="F87" i="46" s="1"/>
  <c r="C86" i="46"/>
  <c r="C80" i="46"/>
  <c r="F80" i="46" s="1"/>
  <c r="F79" i="46" s="1"/>
  <c r="D13" i="26"/>
  <c r="D13" i="46"/>
  <c r="G13" i="46" s="1"/>
  <c r="G7" i="46"/>
  <c r="D16" i="46"/>
  <c r="G16" i="46" s="1"/>
  <c r="D19" i="46"/>
  <c r="D20" i="46"/>
  <c r="G119" i="46"/>
  <c r="G118" i="46" s="1"/>
  <c r="D124" i="46"/>
  <c r="H146" i="46"/>
  <c r="E149" i="46"/>
  <c r="H149" i="46" s="1"/>
  <c r="C124" i="46"/>
  <c r="F124" i="46" s="1"/>
  <c r="C131" i="46"/>
  <c r="F131" i="46" s="1"/>
  <c r="F119" i="46"/>
  <c r="F118" i="46" s="1"/>
  <c r="C127" i="46"/>
  <c r="F127" i="46" s="1"/>
  <c r="C130" i="46"/>
  <c r="E119" i="46"/>
  <c r="G146" i="46"/>
  <c r="D149" i="46"/>
  <c r="I76" i="1" l="1"/>
  <c r="C68" i="26"/>
  <c r="C82" i="26" s="1"/>
  <c r="G76" i="1"/>
  <c r="G33" i="2"/>
  <c r="E12" i="14"/>
  <c r="C13" i="46"/>
  <c r="F13" i="46" s="1"/>
  <c r="F8" i="46"/>
  <c r="F7" i="46" s="1"/>
  <c r="L78" i="44"/>
  <c r="L79" i="44" s="1"/>
  <c r="E97" i="46" s="1"/>
  <c r="L87" i="43"/>
  <c r="D97" i="46" s="1"/>
  <c r="D83" i="46"/>
  <c r="G83" i="46" s="1"/>
  <c r="G80" i="46"/>
  <c r="G79" i="46" s="1"/>
  <c r="G89" i="46" s="1"/>
  <c r="H41" i="2"/>
  <c r="H40" i="2" s="1"/>
  <c r="L117" i="42"/>
  <c r="C121" i="26"/>
  <c r="C135" i="26" s="1"/>
  <c r="F76" i="1"/>
  <c r="G20" i="46"/>
  <c r="G19" i="46" s="1"/>
  <c r="G12" i="46"/>
  <c r="D82" i="26"/>
  <c r="H79" i="46"/>
  <c r="H35" i="46"/>
  <c r="D135" i="26"/>
  <c r="C61" i="46"/>
  <c r="F61" i="46" s="1"/>
  <c r="F57" i="46" s="1"/>
  <c r="F53" i="46"/>
  <c r="F52" i="46" s="1"/>
  <c r="C64" i="46"/>
  <c r="E8" i="46"/>
  <c r="H8" i="46" s="1"/>
  <c r="H7" i="46" s="1"/>
  <c r="C65" i="46"/>
  <c r="F65" i="46" s="1"/>
  <c r="F64" i="46" s="1"/>
  <c r="C19" i="46"/>
  <c r="C16" i="46"/>
  <c r="F16" i="46" s="1"/>
  <c r="F12" i="46" s="1"/>
  <c r="C20" i="46"/>
  <c r="C109" i="46"/>
  <c r="F109" i="46" s="1"/>
  <c r="F108" i="46" s="1"/>
  <c r="C108" i="46"/>
  <c r="F97" i="46"/>
  <c r="F96" i="46" s="1"/>
  <c r="D53" i="46"/>
  <c r="D58" i="46" s="1"/>
  <c r="D27" i="26"/>
  <c r="H145" i="46"/>
  <c r="G97" i="46"/>
  <c r="G96" i="46" s="1"/>
  <c r="D109" i="46"/>
  <c r="G109" i="46" s="1"/>
  <c r="D105" i="46"/>
  <c r="G105" i="46" s="1"/>
  <c r="D108" i="46"/>
  <c r="D102" i="46"/>
  <c r="G102" i="46" s="1"/>
  <c r="F145" i="46"/>
  <c r="F155" i="46" s="1"/>
  <c r="C13" i="45" s="1"/>
  <c r="F35" i="46"/>
  <c r="F45" i="46" s="1"/>
  <c r="C102" i="46"/>
  <c r="F102" i="46" s="1"/>
  <c r="F101" i="46" s="1"/>
  <c r="F86" i="46"/>
  <c r="F89" i="46" s="1"/>
  <c r="F130" i="46"/>
  <c r="G149" i="46"/>
  <c r="G145" i="46" s="1"/>
  <c r="G155" i="46" s="1"/>
  <c r="D13" i="45" s="1"/>
  <c r="D152" i="46"/>
  <c r="F123" i="46"/>
  <c r="F133" i="46" s="1"/>
  <c r="H119" i="46"/>
  <c r="H118" i="46" s="1"/>
  <c r="E124" i="46"/>
  <c r="D127" i="46"/>
  <c r="G124" i="46"/>
  <c r="G22" i="46" l="1"/>
  <c r="G41" i="2"/>
  <c r="G40" i="2" s="1"/>
  <c r="F111" i="46"/>
  <c r="E109" i="46"/>
  <c r="H97" i="46"/>
  <c r="H96" i="46" s="1"/>
  <c r="E105" i="46"/>
  <c r="H105" i="46" s="1"/>
  <c r="E102" i="46"/>
  <c r="H102" i="46" s="1"/>
  <c r="E108" i="46"/>
  <c r="F67" i="46"/>
  <c r="C12" i="14"/>
  <c r="D40" i="1" s="1"/>
  <c r="H109" i="46"/>
  <c r="H108" i="46" s="1"/>
  <c r="G108" i="46"/>
  <c r="D12" i="14"/>
  <c r="D11" i="14" s="1"/>
  <c r="E13" i="45"/>
  <c r="F20" i="46"/>
  <c r="F19" i="46" s="1"/>
  <c r="E13" i="46"/>
  <c r="E16" i="46" s="1"/>
  <c r="G53" i="46"/>
  <c r="G52" i="46" s="1"/>
  <c r="G101" i="46"/>
  <c r="E44" i="1"/>
  <c r="E38" i="1" s="1"/>
  <c r="E45" i="1"/>
  <c r="C16" i="14"/>
  <c r="D61" i="46"/>
  <c r="G58" i="46"/>
  <c r="E127" i="46"/>
  <c r="H124" i="46"/>
  <c r="G127" i="46"/>
  <c r="G123" i="46" s="1"/>
  <c r="D130" i="46"/>
  <c r="D131" i="46" s="1"/>
  <c r="G131" i="46" s="1"/>
  <c r="H13" i="46" l="1"/>
  <c r="I45" i="1"/>
  <c r="N107" i="43"/>
  <c r="H101" i="46"/>
  <c r="H131" i="46"/>
  <c r="H130" i="46" s="1"/>
  <c r="G130" i="46"/>
  <c r="E53" i="46"/>
  <c r="I44" i="1"/>
  <c r="I38" i="1" s="1"/>
  <c r="G45" i="1"/>
  <c r="G44" i="1" s="1"/>
  <c r="G38" i="1" s="1"/>
  <c r="G37" i="1" s="1"/>
  <c r="F40" i="1"/>
  <c r="D16" i="14"/>
  <c r="H16" i="46"/>
  <c r="E19" i="46"/>
  <c r="E20" i="46" s="1"/>
  <c r="G61" i="46"/>
  <c r="G57" i="46" s="1"/>
  <c r="G67" i="46" s="1"/>
  <c r="D64" i="46"/>
  <c r="D65" i="46" s="1"/>
  <c r="G65" i="46" s="1"/>
  <c r="G64" i="46" s="1"/>
  <c r="H127" i="46"/>
  <c r="H123" i="46" s="1"/>
  <c r="E130" i="46"/>
  <c r="E131" i="46" s="1"/>
  <c r="H12" i="46" l="1"/>
  <c r="E58" i="46"/>
  <c r="H53" i="46"/>
  <c r="H52" i="46" s="1"/>
  <c r="E11" i="14"/>
  <c r="I37" i="1"/>
  <c r="H20" i="46"/>
  <c r="H19" i="46" s="1"/>
  <c r="H22" i="46" s="1"/>
  <c r="D45" i="1"/>
  <c r="D44" i="1" s="1"/>
  <c r="D38" i="1" s="1"/>
  <c r="E11" i="45" l="1"/>
  <c r="D11" i="45"/>
  <c r="D16" i="45" s="1"/>
  <c r="H58" i="46"/>
  <c r="E61" i="46"/>
  <c r="E16" i="14"/>
  <c r="H40" i="1"/>
  <c r="F44" i="1"/>
  <c r="Z13" i="26"/>
  <c r="E80" i="1" s="1"/>
  <c r="E76" i="1" s="1"/>
  <c r="H61" i="46" l="1"/>
  <c r="H57" i="46" s="1"/>
  <c r="E64" i="46"/>
  <c r="E65" i="46" s="1"/>
  <c r="H65" i="46" s="1"/>
  <c r="H64" i="46" s="1"/>
  <c r="F38" i="1"/>
  <c r="F37" i="1" s="1"/>
  <c r="Z27" i="26"/>
  <c r="F41" i="2" l="1"/>
  <c r="F40" i="2" s="1"/>
  <c r="H45" i="1"/>
  <c r="H44" i="1" s="1"/>
  <c r="H38" i="1" s="1"/>
  <c r="H37" i="1" s="1"/>
  <c r="E37" i="1"/>
  <c r="E16" i="45" l="1"/>
  <c r="F13" i="26" l="1"/>
  <c r="C13" i="26" l="1"/>
  <c r="C27" i="26" s="1"/>
  <c r="D80" i="1"/>
  <c r="C24" i="26"/>
  <c r="F27" i="26"/>
  <c r="D76" i="1" l="1"/>
  <c r="D37" i="1" s="1"/>
</calcChain>
</file>

<file path=xl/comments1.xml><?xml version="1.0" encoding="utf-8"?>
<comments xmlns="http://schemas.openxmlformats.org/spreadsheetml/2006/main">
  <authors>
    <author>Администратор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225 ст</t>
        </r>
      </text>
    </comment>
  </commentList>
</comments>
</file>

<file path=xl/comments2.xml><?xml version="1.0" encoding="utf-8"?>
<comments xmlns="http://schemas.openxmlformats.org/spreadsheetml/2006/main">
  <authors>
    <author>Администратор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226 ст</t>
        </r>
      </text>
    </comment>
  </commentList>
</comments>
</file>

<file path=xl/comments3.xml><?xml version="1.0" encoding="utf-8"?>
<comments xmlns="http://schemas.openxmlformats.org/spreadsheetml/2006/main">
  <authors>
    <author>Администратор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310</t>
        </r>
      </text>
    </comment>
  </commentList>
</comments>
</file>

<file path=xl/comments4.xml><?xml version="1.0" encoding="utf-8"?>
<comments xmlns="http://schemas.openxmlformats.org/spreadsheetml/2006/main">
  <authors>
    <author>Администратор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340</t>
        </r>
      </text>
    </comment>
  </commentList>
</comments>
</file>

<file path=xl/sharedStrings.xml><?xml version="1.0" encoding="utf-8"?>
<sst xmlns="http://schemas.openxmlformats.org/spreadsheetml/2006/main" count="4001" uniqueCount="638">
  <si>
    <t>Наименование показателя</t>
  </si>
  <si>
    <t>Код строки</t>
  </si>
  <si>
    <t>Код по бюджетной классификации Российской Федерации &lt;3&gt;</t>
  </si>
  <si>
    <t>Сумма, руб. (с точностью до двух знаков после запятой - 0,00)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</si>
  <si>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</si>
  <si>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</si>
  <si>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</si>
  <si>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</si>
  <si>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субсидии</t>
  </si>
  <si>
    <t>поступления от приносящей доход деятельности</t>
  </si>
  <si>
    <t>Остаток средств на начало текущего финансового года &lt;4&gt;</t>
  </si>
  <si>
    <t>х</t>
  </si>
  <si>
    <t>Остаток средств на конец текущего финансового года &lt;4&gt;</t>
  </si>
  <si>
    <t>Доходы, всего:</t>
  </si>
  <si>
    <t>в том числе:</t>
  </si>
  <si>
    <t>доходы от собственности, всего</t>
  </si>
  <si>
    <t>доходы, получаемые в виде арендной либо иной платы за передачу в возмездное пользование муниципального имущества</t>
  </si>
  <si>
    <t>доходы в виде процентов по депозитам автономных учреждений в кредитных организациях</t>
  </si>
  <si>
    <t>доходы в виде процентов по остаткам средств на счетах автономных учреждений в кредитных организациях</t>
  </si>
  <si>
    <t>доходы от оказания услуг, работ, компенсации затрат учреждений, всего</t>
  </si>
  <si>
    <t>субсидии на финансовое обеспечение выполнения муниципального задания</t>
  </si>
  <si>
    <t>доходы от оказания услуг, выполнения работ, за плату сверх установленного муниципального задания и иной приносящей доход деятельности, предусмотренной уставом учреждения</t>
  </si>
  <si>
    <t>доходы, поступающие в порядке возмещения расходов, понесенных в связи с эксплуатацией имущества, находящегося в оперативном управлении учреждения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</si>
  <si>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</si>
  <si>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</si>
  <si>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прочие доходы, всего</t>
  </si>
  <si>
    <t>целевые субсидии</t>
  </si>
  <si>
    <t>субсидии на осуществление капитальных вложений</t>
  </si>
  <si>
    <t>доходы от операций с активами, всего</t>
  </si>
  <si>
    <t>прочие поступления, всего &lt;5&gt;</t>
  </si>
  <si>
    <t>из них:</t>
  </si>
  <si>
    <t>увеличение остатков денежных средств за счет возврата дебиторской задолженности прошлых лет</t>
  </si>
  <si>
    <t>Расходы, всего</t>
  </si>
  <si>
    <t>на выплаты персоналу, всего</t>
  </si>
  <si>
    <t>оплата труда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</si>
  <si>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</si>
  <si>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</si>
  <si>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</si>
  <si>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</si>
  <si>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</si>
  <si>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</si>
  <si>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</si>
  <si>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</si>
  <si>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</si>
  <si>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</si>
  <si>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</si>
  <si>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</si>
  <si>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</si>
  <si>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</si>
  <si>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</si>
  <si>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</si>
  <si>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</si>
  <si>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взносы в международные организации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</si>
  <si>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</si>
  <si>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</si>
  <si>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расходы на закупку товаров, работ, услуг, всего &lt;6&gt;</t>
  </si>
  <si>
    <t>закупку научно-исследовательских и опытно-конструкторских работ</t>
  </si>
  <si>
    <t>закупку товаров, работ, услуг в целях капитального ремонта муниципального имущества</t>
  </si>
  <si>
    <t>прочую закупку товаров, работ и услуг, всего</t>
  </si>
  <si>
    <t>капитальные вложения в объекты муниципальной собственности, всего</t>
  </si>
  <si>
    <t>приобретение объектов недвижимого имущества муниципальными учреждениями</t>
  </si>
  <si>
    <t>строительство (реконструкция) объектов недвижимого имущества муниципальными учреждениями</t>
  </si>
  <si>
    <t>Выплаты, уменьшающие доход, всего &lt;7&gt;</t>
  </si>
  <si>
    <t>налог на прибыль &lt;7&gt;</t>
  </si>
  <si>
    <t>налог на добавленную стоимость &lt;7&gt;</t>
  </si>
  <si>
    <t>прочие налоги, уменьшающие доход &lt;7&gt;</t>
  </si>
  <si>
    <t>Прочие выплаты, всего &lt;8&gt;</t>
  </si>
  <si>
    <t>возврат в бюджет средств субсидии</t>
  </si>
  <si>
    <t>Раздел 1. Поступления и выплаты</t>
  </si>
  <si>
    <t>N п/п</t>
  </si>
  <si>
    <t>Коды строк</t>
  </si>
  <si>
    <t>Год начала закупки</t>
  </si>
  <si>
    <t>Сумма</t>
  </si>
  <si>
    <t>(текущий финансовый год)</t>
  </si>
  <si>
    <t>(первый год планового периода)</t>
  </si>
  <si>
    <t>(второй год планового периода)</t>
  </si>
  <si>
    <t>Выплаты на закупку товаров, работ, услуг, всего &lt;10&gt;</t>
  </si>
  <si>
    <t>по контрактам (договорам), заключенным до начала текущего финансового года без применения норм Федерального закона от 05.04.2013 N 44-ФЗ "О контрактной системе в сфере закупок товаров, работ, услуг для обеспечения государственных и муниципальных нужд" (далее - Федеральный закон N 44-ФЗ) и Федерального закона от 18.07.2011 N 223-ФЗ "О закупках товаров, работ, услуг отдельными видами юридических лиц" (далее - Федеральный закон N 223-ФЗ) &lt;11&gt;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</si>
  <si>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 &lt;11&gt;</t>
  </si>
  <si>
    <t>по контрактам (договорам), заключенным до начала текущего финансового года с учетом требований:</t>
  </si>
  <si>
    <t>в соответствии с Федеральным законом N 44-ФЗ</t>
  </si>
  <si>
    <t>в соответствии с Федеральным законом N 223-ФЗ &lt;12&gt;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</si>
  <si>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 &lt;12&gt;</t>
  </si>
  <si>
    <t>за счет субсидий, предоставляемых на финансовое обеспечение выполнения государственного (муниципального) задания</t>
  </si>
  <si>
    <t>1.4.1.1</t>
  </si>
  <si>
    <t>1.4.1.2</t>
  </si>
  <si>
    <t>в соответствии с Федеральным законом N 223-ФЗ &lt;13&gt;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</si>
  <si>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</si>
  <si>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</si>
  <si>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</t>
  </si>
  <si>
    <t>за счет субсидий, предоставляемых на осуществление капитальных вложений &lt;14&gt;</t>
  </si>
  <si>
    <t>За счет средств обязательного медицинского страхования</t>
  </si>
  <si>
    <t>1.4.4.1</t>
  </si>
  <si>
    <t>1.4.4.2</t>
  </si>
  <si>
    <t>в соответствии с Федеральным законом N 223-ФЗ</t>
  </si>
  <si>
    <t>за счет прочих источников финансового обеспечения</t>
  </si>
  <si>
    <t>1.4.5.1</t>
  </si>
  <si>
    <t>1.4.5.2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</si>
  <si>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&lt;15&gt;</t>
  </si>
  <si>
    <t>в том числе по году начала закупки: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</si>
  <si>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</si>
  <si>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Раздел 2. Сведения по выплатам на закупки товаров, работ, услуг</t>
  </si>
  <si>
    <t>.1.1</t>
  </si>
  <si>
    <t>1.2</t>
  </si>
  <si>
    <t>1.3</t>
  </si>
  <si>
    <t>1.3.1.</t>
  </si>
  <si>
    <t>1.3.2</t>
  </si>
  <si>
    <t>1.4</t>
  </si>
  <si>
    <t>1.4.1</t>
  </si>
  <si>
    <t>1.4.2</t>
  </si>
  <si>
    <t>1.4.3</t>
  </si>
  <si>
    <t>1.4.4</t>
  </si>
  <si>
    <t>1.4.5</t>
  </si>
  <si>
    <t>Сумма, руб.</t>
  </si>
  <si>
    <t>Задолженность по доходам (дебиторская задолженность по доходам) на начало года</t>
  </si>
  <si>
    <t>Полученные предварительные платежи (авансы) по контрактам (договорам) (кредиторская задолженность по доходам) на начало года</t>
  </si>
  <si>
    <t>Доходы от собственности, всего</t>
  </si>
  <si>
    <t>плата по соглашениям об установлении сервитута</t>
  </si>
  <si>
    <t>проценты, полученные от предоставления займов</t>
  </si>
  <si>
    <t>проценты по иным финансовым инструментам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</si>
  <si>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</si>
  <si>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доходы от распоряжения правами на результаты интеллектуальной деятельности и средствами индивидуализации</t>
  </si>
  <si>
    <t>прочие поступления от использования имущества, находящегося в оперативном управлении учреждения</t>
  </si>
  <si>
    <t>Задолженность по доходам (дебиторская задолженность по доходам) на конец года</t>
  </si>
  <si>
    <t>Полученные предварительные платежи (авансы) по контрактам (договорам) (кредиторская задолженность по доходам) на конец года</t>
  </si>
  <si>
    <t>Планируемые поступления доходов от собственности (с. 0100 - с. 0200 + с. 0300 - с. 0400 + с. 0500)</t>
  </si>
  <si>
    <t>Наименование объекта</t>
  </si>
  <si>
    <t>Плата (тариф) арендной платы за единицу площади (объект), руб.</t>
  </si>
  <si>
    <t>Планируемый объем предоставления имущества в аренду (в натуральных показателях)</t>
  </si>
  <si>
    <t>Объем планируемых поступлений, руб.</t>
  </si>
  <si>
    <t>Недвижимое имущество, всего</t>
  </si>
  <si>
    <t>в том числе</t>
  </si>
  <si>
    <t>Движимое имущество, всего</t>
  </si>
  <si>
    <t>Итого</t>
  </si>
  <si>
    <t>3.1.2. Расчет доходов в виде арендной либо иной платы за передачу в возмездное пользование муниципального имущества.</t>
  </si>
  <si>
    <t>3.1.1. Обоснование (расчет) плановых показателей поступлений доходов по статье 120 "Доходы от собственности".</t>
  </si>
  <si>
    <t>Среднегодовой объем средств, на которые начисляются проценты, руб.</t>
  </si>
  <si>
    <t>Ставка размещения, %</t>
  </si>
  <si>
    <t>Сумма доходов в виде процентов, руб.</t>
  </si>
  <si>
    <t>Договор 1</t>
  </si>
  <si>
    <t>Договор 2</t>
  </si>
  <si>
    <t>3.1.3. Расчет доходов в виде процентов по депозитам автономных учреждений в кредитных организациях.</t>
  </si>
  <si>
    <t>3.1. Обоснование (расчет) плановых показателей поступлений доходов по статье 120 "Доходы от собственности".</t>
  </si>
  <si>
    <t>Раздел 3. Обоснования (расчеты) плановых показателей поступлений и выплат</t>
  </si>
  <si>
    <t>Доходы от оказания услуг, работ, компенсации затрат учреждений, всего</t>
  </si>
  <si>
    <t>Планируемые поступления доходов от оказания услуг, компенсации затрат учреждения (с. 0100 - с. 0200 + с. 0300 - с. 0400 + с. 0500)</t>
  </si>
  <si>
    <t>3.2.1. Обоснование (расчет) плановых показателей поступлений доходов по статье 130 "Доходы от оказания услуг, работ, компенсации затрат учреждений".</t>
  </si>
  <si>
    <t>3.2. Обоснование (расчет) плановых показателей поступлений доходов по статье 130 "Доходы от оказания услуг, работ, компенсации затрат учреждений".</t>
  </si>
  <si>
    <t>Плата (тариф) за единицу услуги (работы), руб.</t>
  </si>
  <si>
    <t>Планируемый объем оказания услуг (выполнения работ)</t>
  </si>
  <si>
    <t>Общий объем планируемых поступлений, руб.</t>
  </si>
  <si>
    <t>3.2.2. Расчет доходов в виде субсидии на финансовое обеспечение выполнения муниципального задания.</t>
  </si>
  <si>
    <t>3.2.3. Расчет доходов от оказания услуг, выполнения работ в рамках установленного муниципального задания.</t>
  </si>
  <si>
    <t>3.2.4. Расчет доходов от оказания услуг, выполнения работ за плату сверх установленного муниципального задания и иной приносящей доход деятельности, предусмотренной уставом учреждения.</t>
  </si>
  <si>
    <t>Вид возмещаемых расходов</t>
  </si>
  <si>
    <t>Объем услуг, планируемый к возмещению</t>
  </si>
  <si>
    <t>3.2.5. Расчет доходов, поступающих в порядке возмещения расходов, понесенных в связи с эксплуатацией имущества, находящегося в оперативном управлении учреждения.</t>
  </si>
  <si>
    <t>Излишне полученные либо взысканные платежи (кредиторская задолженность по доходам) на начало года</t>
  </si>
  <si>
    <t>Доходы от штрафов, пеней, иных сумм принудительного изъятия, всего</t>
  </si>
  <si>
    <t>штрафы</t>
  </si>
  <si>
    <t>пени</t>
  </si>
  <si>
    <t>суммы принудительного изъятия</t>
  </si>
  <si>
    <t>Излишне полученные либо взысканные платежи (кредиторская задолженность по доходам) на конец года</t>
  </si>
  <si>
    <t>Планируемые поступления доходов от штрафов, пеней, иных сумм принудительного изъятия (с. 0100 - с. 0200 + с. 0300 - с. 0400 + с. 0500)</t>
  </si>
  <si>
    <t>3.3. Обоснование (расчет) плановых показателей поступлений доходов по статье 140 "Доходы от штрафов, пеней, иных сумм принудительного изъятия".</t>
  </si>
  <si>
    <t>3.3.1. Обоснование (расчет) плановых показателей поступлений доходов по статье 140 "Доходы от штрафов, пеней, иных сумм принудительного изъятия".</t>
  </si>
  <si>
    <t>Доходы от операций с активами, всего</t>
  </si>
  <si>
    <t>реализация неиспользуемого имущества</t>
  </si>
  <si>
    <t>реализация утиля, лома черных и цветных металлов</t>
  </si>
  <si>
    <t>3.5. Обоснование (расчет) плановых показателей поступлений доходов по статье "Доходы от операций с активами".</t>
  </si>
  <si>
    <t>3.5.1. Обоснование (расчет) плановых показателей поступлений доходов по статье "Доходы от операций с активами".</t>
  </si>
  <si>
    <t>Задолженность перед персоналом по оплате труда (кредиторская задолженность) на начало года</t>
  </si>
  <si>
    <t>Задолженность персонала по полученным авансам (дебиторская задолженность) на начало года</t>
  </si>
  <si>
    <t>Фонд оплаты труда</t>
  </si>
  <si>
    <t>Задолженность перед персоналом по оплате труда (кредиторская задолженность) на конец года</t>
  </si>
  <si>
    <t>Задолженность персонала по полученным авансам (дебиторская задолженность) на конец года</t>
  </si>
  <si>
    <t>Планируемые выплаты на оплату труда (с. 0100 - с. 0200 + с. 0300 - с. 0400 + с. 0500)</t>
  </si>
  <si>
    <t>3.6. Обоснование (расчет) плановых показателей по выплатам по оплате труда работников учреждения.</t>
  </si>
  <si>
    <t>3.6.1. Обоснование (расчет) плановых показателей по выплатам по элементу вида расходов классификации расходов бюджетов 111 "Фонд оплаты труда учреждений" (заполняется раздельно по источникам финансового обеспечения).</t>
  </si>
  <si>
    <t>Должность, группа должностей</t>
  </si>
  <si>
    <t>Установленная численность, единиц</t>
  </si>
  <si>
    <t>Среднемесячный размер оплаты труда на одного работника, руб.</t>
  </si>
  <si>
    <t>Фонд оплаты труда в год (гр. 3 x гр. 4 x 12)</t>
  </si>
  <si>
    <t>всего (гр. 5 + гр. 6 + гр. 7 + гр. 9 + гр. 11)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</si>
  <si>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</si>
  <si>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</si>
  <si>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</si>
  <si>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северная надбавка</t>
  </si>
  <si>
    <t>районный коэффициент</t>
  </si>
  <si>
    <t>%</t>
  </si>
  <si>
    <t>сумма (гр. 5 + гр. 6 + гр. 7) x гр. 8 / 100</t>
  </si>
  <si>
    <t>сумма (гр. 5 + гр. 6 + гр. 7) x гр. 10 / 100</t>
  </si>
  <si>
    <t>Задолженность по обязательствам (кредиторская задолженность) на начало года</t>
  </si>
  <si>
    <t>Сумма излишне уплаченных либо излишне взысканных страховых взносов (дебиторская задолженность) на начало года</t>
  </si>
  <si>
    <t>Страховые взносы на обязательное социальное страхование</t>
  </si>
  <si>
    <t>Задолженность по уплате страховых взносов (кредиторская задолженность) на конец года</t>
  </si>
  <si>
    <t>Сумма излишне уплаченных либо излишне взысканных страховых взносов (дебиторская задолженность) на конец года</t>
  </si>
  <si>
    <t>Планируемые выплаты на страховые взносы на обязательное социальное страхование (с. 0100 - с. 0200 + с. 0300 - с. 0400 + с. 0500)</t>
  </si>
  <si>
    <t>3.7. Обоснование (расчет) плановых показателей по выплатам на страховые взносы по обязательному социальному страхованию.</t>
  </si>
  <si>
    <t>3.7.1. Обоснование (расчет) плановых показателей по выплатам на страховые взносы по обязательному социальному страхованию (заполняется раздельно по источникам финансового обеспечения).</t>
  </si>
  <si>
    <t>Наименование государственного внебюджетного фонда</t>
  </si>
  <si>
    <t>Размер базы для начисления страховых взносов, руб.</t>
  </si>
  <si>
    <t>Сумма взноса, руб.</t>
  </si>
  <si>
    <t>Страховые взносы в Пенсионный фонд Российской Федерации, всего</t>
  </si>
  <si>
    <t>по ставке 22,0%</t>
  </si>
  <si>
    <t>по ставке 10,0%</t>
  </si>
  <si>
    <t>с применением пониженных тарифов взносов в Пенсионный фонд Российской Федерации для отдельных категорий плательщиков</t>
  </si>
  <si>
    <t>Страховые взносы в Фонд социального страхования Российской Федерации, всего</t>
  </si>
  <si>
    <t>обязательное социальное страхование на случай временной нетрудоспособности и в связи с материнством по ставке 2,9%</t>
  </si>
  <si>
    <t>с применением ставки взносов в Фонд социального страхования Российской Федерации по ставке 0,0%</t>
  </si>
  <si>
    <t>обязательное социальное страхование от несчастных случаев на производстве и профессиональных заболеваний по ставке 0,2%</t>
  </si>
  <si>
    <t>обязательное социальное страхование от несчастных случаев на производстве и профессиональных заболеваний по ставке ____% &lt;*&gt;</t>
  </si>
  <si>
    <t>Страховые взносы в Федеральный фонд обязательного медицинского страхования, всего</t>
  </si>
  <si>
    <t>страховые взносы на обязательное медицинское страхование по ставке 5,1%</t>
  </si>
  <si>
    <t>3.7.2. Расчет страховых взносов по обязательному социальному страхованию (заполняется раздельно по источникам финансового обеспечения).</t>
  </si>
  <si>
    <t>Наименование расходов</t>
  </si>
  <si>
    <t>Средний размер выплаты на одного работника в день, руб.</t>
  </si>
  <si>
    <t>Количество работников, чел.</t>
  </si>
  <si>
    <t>Количество дней, дн.</t>
  </si>
  <si>
    <t>3.8. Обоснование (расчет) плановых показателей по выплатам компенсационного характера персоналу, за исключением фонда оплаты труда.</t>
  </si>
  <si>
    <t>3.8.1. Обоснование (расчет) выплат персоналу при направлении в служебные командировки (заполняется раздельно по источникам финансового обеспечения).</t>
  </si>
  <si>
    <t>Численность работников, получающих пособие, чел.</t>
  </si>
  <si>
    <t>Количество выплат в год на одного работника, шт.</t>
  </si>
  <si>
    <t>Размер выплаты (пособия) в месяц, руб.</t>
  </si>
  <si>
    <t>Размер одной выплаты, руб.</t>
  </si>
  <si>
    <t>Количество выплат в год</t>
  </si>
  <si>
    <t>Общая сумма выплат, руб.</t>
  </si>
  <si>
    <t>3.9. Обоснование (расчет) плановых показателей по выплатам на социальное обеспечение и иные выплаты населению.</t>
  </si>
  <si>
    <t>Налоговая база, руб.</t>
  </si>
  <si>
    <t>Ставка налога, %</t>
  </si>
  <si>
    <t>Сумма начисленного налога, подлежащего уплате, руб.</t>
  </si>
  <si>
    <t>3.10. Обоснование (расчет) плановых показателей по расходам на уплату налогов, сборов и иных платежей (заполняется раздельно по источникам финансового обеспечения).</t>
  </si>
  <si>
    <t>3.11. Обоснование (расчет) плановых показателей по расходам на безвозмездное перечисление организациям и физическим лицам (заполняется раздельно по источникам финансового обеспечения).</t>
  </si>
  <si>
    <t>3.12. Обоснование (расчет) плановых показателей по прочим расходам (кроме расходов на закупку товаров, работ и услуг) (заполняется раздельно по источникам финансового обеспечения).</t>
  </si>
  <si>
    <t>Задолженность по принятым и неисполненным обязательствам, полученные предварительные платежи (авансы) по контрактам (договорам) (кредиторская задолженность) на начало года</t>
  </si>
  <si>
    <t>Произведенные предварительные платежи (авансы) по контрактам (договорам) (дебиторская задолженность) на начало года</t>
  </si>
  <si>
    <t>Расходы на закупку товаров, работ и услуг, всего</t>
  </si>
  <si>
    <t>услуги связи</t>
  </si>
  <si>
    <t>транспортные услуги</t>
  </si>
  <si>
    <t>коммунальные услуги</t>
  </si>
  <si>
    <t>аренда имущества</t>
  </si>
  <si>
    <t>содержание имущества</t>
  </si>
  <si>
    <t>обязательное страхование</t>
  </si>
  <si>
    <t>повышение квалификации (профессиональная переподготовка)</t>
  </si>
  <si>
    <t>приобретение объектов движимого имущества</t>
  </si>
  <si>
    <t>приобретение материальных запасов</t>
  </si>
  <si>
    <t>Задолженность по принятым и неисполненным обязательствам, полученные предварительные платежи (авансы) по контрактам (договорам) (кредиторская задолженность) на конец года</t>
  </si>
  <si>
    <t>Произведенные предварительные платежи (авансы) по контрактам (договорам) (дебиторская задолженность) на конец года</t>
  </si>
  <si>
    <t>Планируемые выплаты на закупку товаров, работ и услуг (с. 0100 - с. 0200 + с. 0300 - с. 0400 + с. 0500)</t>
  </si>
  <si>
    <t>3.13. Обоснование (расчет) плановых показателей по расходам на закупки товаров, работ и услуг.</t>
  </si>
  <si>
    <t>3.13.1. Обоснование (расчет) плановых показателей по расходам на закупки товаров, работ и услуг.</t>
  </si>
  <si>
    <t>Количество номеров, ед.</t>
  </si>
  <si>
    <t>Количество платежей в год</t>
  </si>
  <si>
    <t>Стоимость за единицу, руб.</t>
  </si>
  <si>
    <t>3.13.2. Обоснование (расчет) плановых показателей по расходам на услуги связи.</t>
  </si>
  <si>
    <t>Количество услуг перевозки</t>
  </si>
  <si>
    <t>Цена услуги перевозки, руб.</t>
  </si>
  <si>
    <t>3.13.3. Обоснование (расчет) плановых показателей по расходам на транспортные услуги.</t>
  </si>
  <si>
    <t>Расчетное потребление ресурсов</t>
  </si>
  <si>
    <t>Тариф (с учетом НДС), руб.</t>
  </si>
  <si>
    <t>3.13.4. Обоснование (расчет) плановых показателей по расходам на коммунальные услуги.</t>
  </si>
  <si>
    <t>Арендуемая площадь (количество объектов), кв. м (ед.)</t>
  </si>
  <si>
    <t>Продолжительность аренды (месяц, день, час)</t>
  </si>
  <si>
    <t>Цена аренды в месяц (день, час), руб.</t>
  </si>
  <si>
    <t>3.13.5. Обоснование (расчет) плановых показателей по расходам на аренду имущества.</t>
  </si>
  <si>
    <t>Объект</t>
  </si>
  <si>
    <t>Количество работ (услуг)</t>
  </si>
  <si>
    <t>3.13.6. Обоснование (расчет) плановых показателей по расходам на содержание имущества.</t>
  </si>
  <si>
    <t>Количество застрахованных сотрудников, застрахованного имущества, чел. (ед.)</t>
  </si>
  <si>
    <t>Базовые ставки страховых тарифов с учетом поправочных коэффициентов к ним, руб.</t>
  </si>
  <si>
    <t>3.13.7. Обоснование (расчет) плановых показателей по расходам на обязательное страхование.</t>
  </si>
  <si>
    <t>Количество работников, направляемых на повышение квалификации (переподготовку), чел.</t>
  </si>
  <si>
    <t>Цена обучения одного работника, руб.</t>
  </si>
  <si>
    <t>3.13.8. Обоснование (расчет) плановых показателей по расходам на повышение квалификации (профессиональную переподготовку).</t>
  </si>
  <si>
    <t xml:space="preserve">доходы от оказания услуг, выполнения работ, в рамках установленного муниципального задания </t>
  </si>
  <si>
    <t>доходы от оказания услуг, выполнения работ за плату сверх установленного муниципального задания и иной приносящей доход деятельности, предусмотренной уставом учреждения:</t>
  </si>
  <si>
    <t>доходы от оказания услуг, выполнения работ в рамках установленного муниципального задания:                                    родительская плата</t>
  </si>
  <si>
    <t>Родительская плата</t>
  </si>
  <si>
    <t>местный бюджет</t>
  </si>
  <si>
    <t>краевой бюджет</t>
  </si>
  <si>
    <t>Преподаватель ОБЖ</t>
  </si>
  <si>
    <t>педагог-психолог</t>
  </si>
  <si>
    <t>социальный педагог</t>
  </si>
  <si>
    <t>Учитель-логопед</t>
  </si>
  <si>
    <t>Учитель-дефектолог</t>
  </si>
  <si>
    <t>Учитель</t>
  </si>
  <si>
    <t>учитель</t>
  </si>
  <si>
    <t>Педагог-библиотекарь</t>
  </si>
  <si>
    <t>Стимулирующие пед.персоналу</t>
  </si>
  <si>
    <t>Инструктор по физической культуре</t>
  </si>
  <si>
    <t>педагог доп.образования</t>
  </si>
  <si>
    <t>Заместитель директора по УВР</t>
  </si>
  <si>
    <t>Заместитель директора по ВР</t>
  </si>
  <si>
    <t>Главный бухгалтер</t>
  </si>
  <si>
    <t>Секретарь руководителя</t>
  </si>
  <si>
    <t>Инженер</t>
  </si>
  <si>
    <t>Воспитатель ГПД</t>
  </si>
  <si>
    <t>Заведующий хозяйством</t>
  </si>
  <si>
    <t>Стимулирующие прочему персоналу</t>
  </si>
  <si>
    <t>Доплата до МРОТ</t>
  </si>
  <si>
    <t>Местный бюджет ДОУ</t>
  </si>
  <si>
    <t>Повар</t>
  </si>
  <si>
    <t>Подсобный рабочий</t>
  </si>
  <si>
    <t>Кладовщик</t>
  </si>
  <si>
    <t>Краевой бюджет ДОУ пед.персонал</t>
  </si>
  <si>
    <t>Воспитатель</t>
  </si>
  <si>
    <t>Музыкальный руководитель</t>
  </si>
  <si>
    <t>Инструктор по физкультуре</t>
  </si>
  <si>
    <t>Старший воспитатель</t>
  </si>
  <si>
    <t>Стимулирующие пед.преосналу</t>
  </si>
  <si>
    <t>Субвенция ДОУ АУП, УВП</t>
  </si>
  <si>
    <t>Младший воспитатель</t>
  </si>
  <si>
    <t>Завхох</t>
  </si>
  <si>
    <t>Бухгалтер</t>
  </si>
  <si>
    <t>Стимулирующие</t>
  </si>
  <si>
    <t>Госпошлина</t>
  </si>
  <si>
    <t>Тепловая энергия 1 полугодие</t>
  </si>
  <si>
    <t>Тепловая энергия 2 полугодие</t>
  </si>
  <si>
    <t>Горячая вода 1 полугодие, м3</t>
  </si>
  <si>
    <t>Горячая вода 2 полугодие, м3</t>
  </si>
  <si>
    <t>Горячая вода 1 полугодие, Гкал</t>
  </si>
  <si>
    <t>Горячая вода 2 полугодие, Гкал</t>
  </si>
  <si>
    <t>Холодная вода 1 полугодие</t>
  </si>
  <si>
    <t>Водоотведение 1 полугодие</t>
  </si>
  <si>
    <t>Электроэнергия 1 полугодие</t>
  </si>
  <si>
    <t>Холодная вода 2 полугодие</t>
  </si>
  <si>
    <t>Водоотведение 2 полугодие</t>
  </si>
  <si>
    <t>Электроэнергия 2 полугодие</t>
  </si>
  <si>
    <t>Обслуживание пожарной сигнализации</t>
  </si>
  <si>
    <t>местный бюджет ДОУ</t>
  </si>
  <si>
    <t>Ремонт оргтехники</t>
  </si>
  <si>
    <t>ВСЕГО</t>
  </si>
  <si>
    <t>Остатки прошлых лет</t>
  </si>
  <si>
    <t>3.13.9. Обоснование (расчет) плановых показателей по расходам на оплату услуг и работ</t>
  </si>
  <si>
    <t>Количество договоров</t>
  </si>
  <si>
    <t>Стоимость, руб.</t>
  </si>
  <si>
    <t>3.13.10. Обоснование (расчет) плановых показателей по расходам на приобретение объектов движимого имущества</t>
  </si>
  <si>
    <t>Количество</t>
  </si>
  <si>
    <t>Средняя стоимость</t>
  </si>
  <si>
    <t>3.13.11. Обоснование (расчет) плановых показателей по расходам на приобретение материальных запасов</t>
  </si>
  <si>
    <t xml:space="preserve">оплата услуг и работ </t>
  </si>
  <si>
    <t>за счет субсидии</t>
  </si>
  <si>
    <t>за счет приносящей доход деятельности</t>
  </si>
  <si>
    <t>Платные услуги</t>
  </si>
  <si>
    <t>Наименование зантий</t>
  </si>
  <si>
    <t>Доплата в месяц</t>
  </si>
  <si>
    <t>Фонд оплаты труда в год (9 месяцев с января по май, с сентября по декабрь)</t>
  </si>
  <si>
    <t>ИТОГО</t>
  </si>
  <si>
    <t>Обслуживание видеонаблюдения</t>
  </si>
  <si>
    <t>Микробиологические исследования</t>
  </si>
  <si>
    <t>Продукты питания</t>
  </si>
  <si>
    <t>Гигиеническая аттестация</t>
  </si>
  <si>
    <t>Канцелярские товары</t>
  </si>
  <si>
    <t>Питание учащихся основной школы</t>
  </si>
  <si>
    <t>Платные услуги (853)</t>
  </si>
  <si>
    <t>остатки прошлых лет (855)</t>
  </si>
  <si>
    <t xml:space="preserve">                                                                                </t>
  </si>
  <si>
    <t>Главный бухгалтер учреждения                            ________________________     _______________________</t>
  </si>
  <si>
    <t xml:space="preserve">                                                </t>
  </si>
  <si>
    <t>Исполнитель                          ________________________     _______________________</t>
  </si>
  <si>
    <t>Телефон</t>
  </si>
  <si>
    <t>«____» ________ 20__г.</t>
  </si>
  <si>
    <t xml:space="preserve">    СОГЛАСОВАНО</t>
  </si>
  <si>
    <t>_______________________________________________________________________</t>
  </si>
  <si>
    <t xml:space="preserve">      (наименование должности уполномоченного лица органа-учредителя)</t>
  </si>
  <si>
    <t xml:space="preserve">      (подпись)                                           (расшифровка подписи)</t>
  </si>
  <si>
    <t xml:space="preserve">"__" __________ 20__ г.                                                  </t>
  </si>
  <si>
    <t>Тех.обслуживание узла учета тепловой энергии</t>
  </si>
  <si>
    <t>Обслуживание станции "Стрелец-Мониторинг" (дублирование сигнала пож.тревоги)</t>
  </si>
  <si>
    <t>Обслуживание периметрального видеонаблюдения</t>
  </si>
  <si>
    <t>Замеры сопротивления изоляции</t>
  </si>
  <si>
    <t>Поверка СИ, испытания СИЗ</t>
  </si>
  <si>
    <t>Санитарная обрезка деревьев</t>
  </si>
  <si>
    <t>Ремонт оборудования и бытовой техники</t>
  </si>
  <si>
    <t>Заправка картриджей</t>
  </si>
  <si>
    <t>Реагирование на срабатывание тревожной сигнализации (ТС)</t>
  </si>
  <si>
    <t>реагирование на срабатывание кнопки тревожной сигнализации (КТС)</t>
  </si>
  <si>
    <t>Медосмотр</t>
  </si>
  <si>
    <t>Опубликование годового отчета</t>
  </si>
  <si>
    <t>Инструментальные замеры физ.факторов</t>
  </si>
  <si>
    <t>Услуги в области пожарной безопасности</t>
  </si>
  <si>
    <t>Электронные подписи</t>
  </si>
  <si>
    <t>Мед.осмотр</t>
  </si>
  <si>
    <t>реагирование на проникновение на территорию ДОУ</t>
  </si>
  <si>
    <t>Приобретение лицензии на программное обеспечение</t>
  </si>
  <si>
    <t>Повышение квалификации ответственных за эл.и тепло хозяйство, пожарной и антитеррористической безопасности, ОТ</t>
  </si>
  <si>
    <t>Учебное оборудовие</t>
  </si>
  <si>
    <t>Мебель для учебных целей</t>
  </si>
  <si>
    <t>ноутбук, ПК</t>
  </si>
  <si>
    <t>проектор</t>
  </si>
  <si>
    <t xml:space="preserve">Учебники </t>
  </si>
  <si>
    <t>Наглядные пособия, развивающие игры</t>
  </si>
  <si>
    <t>муз.оборудование</t>
  </si>
  <si>
    <t>планшеты</t>
  </si>
  <si>
    <t>медицинские изделия</t>
  </si>
  <si>
    <t>хоз.товары</t>
  </si>
  <si>
    <t>Электро и сантех товары</t>
  </si>
  <si>
    <t>строй.материалы</t>
  </si>
  <si>
    <t>Хозяйственные товары</t>
  </si>
  <si>
    <t>Мягкий инвентарь</t>
  </si>
  <si>
    <t>Посуда</t>
  </si>
  <si>
    <t>стройматериалы</t>
  </si>
  <si>
    <t>Моющие и дез.средства</t>
  </si>
  <si>
    <t>Канцелярские товары для деятельности педагогических работников</t>
  </si>
  <si>
    <t>Ценные подарки (медали,сувениры,цветы)</t>
  </si>
  <si>
    <t>Приобретение  классных журналов, журналов по ТБ</t>
  </si>
  <si>
    <t>Материалы и предметы инвентаря для учебных и лабораторных занятий</t>
  </si>
  <si>
    <t>Зап.части и расходные материалы к выч. и орг.технике</t>
  </si>
  <si>
    <t>Медикаменты, перевязочные средства, витамины, йодомарин, аптечки в кабинеты повышенной опасности</t>
  </si>
  <si>
    <t>Приобретение почетных грамот, благодарственных писем</t>
  </si>
  <si>
    <t xml:space="preserve">Приобретение бланков документов об образовании </t>
  </si>
  <si>
    <t>Строительные материалы для обучения "Технологии"</t>
  </si>
  <si>
    <t xml:space="preserve">Канцелярские товары </t>
  </si>
  <si>
    <t>Картриджи, тонеры для принтеров, используемые для организации деятельности педагогическими работниками и обучающимися</t>
  </si>
  <si>
    <t>зап.части к компьютерной и орг.технике</t>
  </si>
  <si>
    <t>Картриджи, тонеры</t>
  </si>
  <si>
    <t>на 2020 г.</t>
  </si>
  <si>
    <t>на 2021 г.</t>
  </si>
  <si>
    <t>на 2022 г.</t>
  </si>
  <si>
    <t>Педагог-психолог</t>
  </si>
  <si>
    <t>Заместитель директора по АХР</t>
  </si>
  <si>
    <t>Тьютор</t>
  </si>
  <si>
    <t>устранение предписаний</t>
  </si>
  <si>
    <t>медикаменты</t>
  </si>
  <si>
    <t>канцелярия</t>
  </si>
  <si>
    <t>Питание в летнем лагере</t>
  </si>
  <si>
    <t>Софинансирование лагерь питание</t>
  </si>
  <si>
    <t>Краевая субвенция школа 75 640</t>
  </si>
  <si>
    <t>Краевая субвенция прочие 74 090</t>
  </si>
  <si>
    <t>806 10</t>
  </si>
  <si>
    <t>Краевая субвенция школа ДО  703 75640</t>
  </si>
  <si>
    <t>Краевая субвенция школа ДО  703 75 640</t>
  </si>
  <si>
    <t>Краевой бюджет ДОУ пед. персонал 758 80</t>
  </si>
  <si>
    <t>Субвенция ДОУ АУП,УВП    74 080</t>
  </si>
  <si>
    <t>местный бюджет ШКОЛА</t>
  </si>
  <si>
    <t>заработная плата</t>
  </si>
  <si>
    <t>начисления на выплаты по оплате труда</t>
  </si>
  <si>
    <t>1.Оплата труда и начисления на оплату труда:</t>
  </si>
  <si>
    <t>Материальные запасы</t>
  </si>
  <si>
    <t>материальные запасы</t>
  </si>
  <si>
    <t>увеличение стоимости основных средств</t>
  </si>
  <si>
    <t>3. Иные натуральные формы:</t>
  </si>
  <si>
    <t>прочие работы и услуги</t>
  </si>
  <si>
    <t>2. Соднржание объектов ОЦИ:</t>
  </si>
  <si>
    <t>3. Прочие общехозяйственные нужды:</t>
  </si>
  <si>
    <t>прочие выплаты</t>
  </si>
  <si>
    <t>увеличение стоимости материальных запасов:</t>
  </si>
  <si>
    <t>2. Материальные запасы и ОЦИ:</t>
  </si>
  <si>
    <t>3. Иные натуральные нормы:</t>
  </si>
  <si>
    <t>работы по содержанию имущества</t>
  </si>
  <si>
    <t>просие работы и услуги</t>
  </si>
  <si>
    <t>Местный бюджет ШКОЛА</t>
  </si>
  <si>
    <t>1. Коммунальные услуги</t>
  </si>
  <si>
    <t>2. Содержание объектов недвижимого имущества</t>
  </si>
  <si>
    <t>2.1 Работы и услуги по содержанию имущества</t>
  </si>
  <si>
    <t>3. Соднржание объектов ОЦИ:</t>
  </si>
  <si>
    <t>3.1 прочие работы и услуи</t>
  </si>
  <si>
    <t>4. Услуги связи</t>
  </si>
  <si>
    <t>5.Работники которые не принимают непосрежственного участия в оказании муниц. услуги:</t>
  </si>
  <si>
    <t>5.1 Оплата труда и начисления на оплату труда:</t>
  </si>
  <si>
    <t>начисления на оплату труда</t>
  </si>
  <si>
    <t>6. Прочие общехозяйственные нужды:</t>
  </si>
  <si>
    <t>6.1 прочие выплаты</t>
  </si>
  <si>
    <t>6.2 прочие расходы</t>
  </si>
  <si>
    <t>6.3 увеличение стоимости материальных запасов</t>
  </si>
  <si>
    <t>работы,услуги по содержанию имущества</t>
  </si>
  <si>
    <t>3.8.2 Обоснование (расчет) выплат персоналу по уходу за ребенком.</t>
  </si>
  <si>
    <t>Пособие по уходу за ребенком(МЕСТН. БЮДЖЕТ ДОУ)</t>
  </si>
  <si>
    <t>Пособие по уходу за ребенком(МЕСТН. БЮДЖЕТ ШК)</t>
  </si>
  <si>
    <t>Интернет       (ПЕДЫ ШКОЛА)          756 40</t>
  </si>
  <si>
    <t>Телефон           (АУП краевой бюджет школа)          74 090</t>
  </si>
  <si>
    <t>субвенция школа ПЕДЫ</t>
  </si>
  <si>
    <t xml:space="preserve">субвенция школа ПЕДЫ </t>
  </si>
  <si>
    <t>субвенция АУП ШКОЛА</t>
  </si>
  <si>
    <t>субвенция ПЕДЫ ДОУ</t>
  </si>
  <si>
    <t>субвенция АУП,УВП ДОУ</t>
  </si>
  <si>
    <t>иная цель ПЕДЫ ДОУ</t>
  </si>
  <si>
    <t>иная цель ШКОЛА ПЕДЫ</t>
  </si>
  <si>
    <t>субвенция ШКОЛА ПЕДЫ</t>
  </si>
  <si>
    <t>иная цель краевой бюджет(S5630)</t>
  </si>
  <si>
    <t>иная цель местный бюджет(S5630)</t>
  </si>
  <si>
    <t>иная цель краевой бюджет лагерь(0707  76490)</t>
  </si>
  <si>
    <t>иная цель краевой бюджет лагерь (0 707 76490)</t>
  </si>
  <si>
    <t>иная цель краевой бюджет лагерь  (0707  76490)</t>
  </si>
  <si>
    <t>иная цель краевой бюджет лагерь (0707  76490)</t>
  </si>
  <si>
    <t>№ п/п</t>
  </si>
  <si>
    <t xml:space="preserve">Численность работников </t>
  </si>
  <si>
    <t>Кол-во выплат в год</t>
  </si>
  <si>
    <t>Размер выплаты</t>
  </si>
  <si>
    <t>организация летнего отдыха</t>
  </si>
  <si>
    <t>Лагерь</t>
  </si>
  <si>
    <t>иная цель местный бюджет лагерь(82140)</t>
  </si>
  <si>
    <t xml:space="preserve">иная цель местный бюджет(лагерь)    82140 </t>
  </si>
  <si>
    <t>иная цель местный бюджет лагерь(S6490)</t>
  </si>
  <si>
    <t>иная цель краевой бюджет питание ДОУ(75540)</t>
  </si>
  <si>
    <t>иная цель краевой бюджет питание 75660</t>
  </si>
  <si>
    <t>иная цель краевой бюджет питание (75660)</t>
  </si>
  <si>
    <t>родительская плата    (849)</t>
  </si>
  <si>
    <t>Родительская плата   (849)</t>
  </si>
  <si>
    <t>Музыкальное оборудование</t>
  </si>
  <si>
    <t>Питание учащихся начальной школы</t>
  </si>
  <si>
    <t>иная цель краевой бюджет сух. пай 75660</t>
  </si>
  <si>
    <t>Местный бюджет ШК</t>
  </si>
  <si>
    <t>Кр. бюджет иная цель, 75660</t>
  </si>
  <si>
    <t>иная цель, мест. бюджет.  Е4521 (НАЦ, ПРОЕКТЫ)</t>
  </si>
  <si>
    <t>Приобретение компьютерного оборудования</t>
  </si>
  <si>
    <t>Компенсационные выплаты обучающимся на дому за льготное питание в школе</t>
  </si>
  <si>
    <t>остаток на начало текущего фин. года платные услуги(853)</t>
  </si>
  <si>
    <t>остаток на начало текущего фин. года пожертвования(851)</t>
  </si>
  <si>
    <t>остаток на начало текущего фин. года родит платы (849)</t>
  </si>
  <si>
    <t>остатки на начало текущего фин. года платные услуги (853)</t>
  </si>
  <si>
    <t>остаток на начало текущего фин. года родительской платы (849)</t>
  </si>
  <si>
    <t>Материалы для ремонта межпанельных швоф</t>
  </si>
  <si>
    <t>местный бюджет ШК иная цель</t>
  </si>
  <si>
    <t>Материалы для ремонта кабинетов</t>
  </si>
  <si>
    <t xml:space="preserve">Стенды </t>
  </si>
  <si>
    <t>федеральеый бюджет</t>
  </si>
  <si>
    <t>Приобретение дверей</t>
  </si>
  <si>
    <t>2-03-06</t>
  </si>
  <si>
    <t>иная цель федеральный  бюджет питание 1-4 кл L3040)</t>
  </si>
  <si>
    <t>иная цель краевой  бюджет питание 1-4 кл L3040)</t>
  </si>
  <si>
    <t>иная цель краевой бюджет питание 1-4 кл. L3040</t>
  </si>
  <si>
    <t>иная цель федеральный бюджет питание L3040</t>
  </si>
  <si>
    <t>иная цель местный бюджет питание L3040</t>
  </si>
  <si>
    <t>иная цель местный  бюджет питание 1-4 кл L3040)</t>
  </si>
  <si>
    <t>Камеры видеонаблюдения</t>
  </si>
  <si>
    <t>иная цель, местный бюджет ШК    (80610)</t>
  </si>
  <si>
    <t>Наружное освещение</t>
  </si>
  <si>
    <t>Материалы на ливневку</t>
  </si>
  <si>
    <t>иная цель краевой бюджет (R37398)</t>
  </si>
  <si>
    <t>в том числе: целевые субсидии</t>
  </si>
  <si>
    <t>расходы на выплаты военнослужащим и сотрудникам,имеющим специальные звания, зависящие от размера денежного довальствия</t>
  </si>
  <si>
    <t>иные выплаты военннослужащим и  сотрудникам, имеющим специальные звания</t>
  </si>
  <si>
    <t>в том числе: на оплату труда стажеров</t>
  </si>
  <si>
    <t>иные выплаты населению</t>
  </si>
  <si>
    <t>гранты, предоставляемые бюджетным учреждениям</t>
  </si>
  <si>
    <t>гранты,предоставляемые автономным учреждениям</t>
  </si>
  <si>
    <t>гранты,предоставляемые иным некоммерческим организациям(за исключением бюджетных и автономных учреждений)</t>
  </si>
  <si>
    <t>гранты,предоставляемые другим организациям и физическим лицам</t>
  </si>
  <si>
    <t>платежи в целях обеспечения реализаций соглашений с правительствами иностранных государств и международными организациями</t>
  </si>
  <si>
    <t>4.1</t>
  </si>
  <si>
    <t>Код бюджетной классификации РФ&lt;10.1&gt;</t>
  </si>
  <si>
    <t>26310.1</t>
  </si>
  <si>
    <t>из них &lt;10.1&gt;:</t>
  </si>
  <si>
    <t>26421.1</t>
  </si>
  <si>
    <t>26430.1</t>
  </si>
  <si>
    <t>26451.1</t>
  </si>
  <si>
    <t xml:space="preserve">Преобразователь магнитный </t>
  </si>
  <si>
    <t>на 2023 г.</t>
  </si>
  <si>
    <t>Стимулирующие ФОТ руководителя 11,71 оклада в год</t>
  </si>
  <si>
    <t>Приобретение лицензии на програмное обеспечение</t>
  </si>
  <si>
    <t>Проектная деятельность(1 год обучения)</t>
  </si>
  <si>
    <t>Проектная деятельность(2 год обучения)</t>
  </si>
  <si>
    <t>Эстрадный вокал</t>
  </si>
  <si>
    <t>Ментальная арифметика</t>
  </si>
  <si>
    <t>Фитнес</t>
  </si>
  <si>
    <t>Директор</t>
  </si>
  <si>
    <t>Оплата труда за летний лагерь (764 90)</t>
  </si>
  <si>
    <t>Численность работников</t>
  </si>
  <si>
    <t>Организация летнего отдыха</t>
  </si>
  <si>
    <t>Организация летнего отдыха(764 90)</t>
  </si>
  <si>
    <t>иная цель краевой бюджет 755 40</t>
  </si>
  <si>
    <t>Продукты питания в ДОУ</t>
  </si>
  <si>
    <t>Остаток на начало текущего финансового года, добровольные пожертвования(851)</t>
  </si>
  <si>
    <t>Добровольные пожертвования (851)</t>
  </si>
  <si>
    <t>иная цель местный бюджет нац. проекты(E4521)</t>
  </si>
  <si>
    <t>родительская плата (849)</t>
  </si>
  <si>
    <t>Остаток на начало текущего финансового года платные услуги (853)</t>
  </si>
  <si>
    <t>добровольные пожертвования(851)</t>
  </si>
  <si>
    <t>x</t>
  </si>
  <si>
    <t>закупка энергетических ресурсов</t>
  </si>
  <si>
    <t>Выплаты за классное руководство</t>
  </si>
  <si>
    <t>Классное руководство (5303)</t>
  </si>
  <si>
    <t>иная цель местный бюджет нац. проект(Е4521)</t>
  </si>
  <si>
    <t>иная цель, краевой бюджет питание в школе (75660)</t>
  </si>
  <si>
    <t>иная цель, местный бюджет(80610)</t>
  </si>
  <si>
    <t>Смайлики</t>
  </si>
  <si>
    <t>иная цель местный бюджет(софинансирование) R373980</t>
  </si>
  <si>
    <t>иная цель, местный бюджет(софинансирование)  (R373980)</t>
  </si>
  <si>
    <t>иная цель краевой бюджет устранение предписаний (S5630)</t>
  </si>
  <si>
    <t xml:space="preserve">иная цель краевой бюджет(S5630) устраниние предписаний </t>
  </si>
  <si>
    <t>Н.В. Домбровская</t>
  </si>
  <si>
    <t>Краевая субвенция 7649</t>
  </si>
  <si>
    <t>на 2024 г.</t>
  </si>
  <si>
    <t xml:space="preserve">3.6.3. Расчет фонда оплаты труда на 2022 г. (текущий финансовый год) </t>
  </si>
  <si>
    <t>3.6.4. Расчет фонда оплаты труда на 2023 г. (первый год финансового плана) (заполняется раздельно по источникам финансового обеспечения).</t>
  </si>
  <si>
    <t>3.6.5. Расчет фонда оплаты труда на 2024 г. (второй год планового периода) (заполняется раздельно по источникам финансового обеспечения).</t>
  </si>
  <si>
    <t>Скорочтение</t>
  </si>
  <si>
    <t>Увлекательное чтение (английский)</t>
  </si>
  <si>
    <t>Смотри,слушай,повторяй (английкий язык)</t>
  </si>
  <si>
    <t>Проектная деятельность (3 год обучени)</t>
  </si>
  <si>
    <t>Дошколенок</t>
  </si>
  <si>
    <t>Шахматы</t>
  </si>
  <si>
    <t>Эстетическая гимнастика</t>
  </si>
  <si>
    <t>Футбол</t>
  </si>
  <si>
    <t>Обслуживание программы 1С</t>
  </si>
  <si>
    <t xml:space="preserve">Обслуживание инженерных сетей </t>
  </si>
  <si>
    <t xml:space="preserve">Обслуживание охранной сигнализации </t>
  </si>
  <si>
    <t>Ремонтные работы</t>
  </si>
  <si>
    <t xml:space="preserve"> на 2022 г.</t>
  </si>
  <si>
    <t>иная цель метсный  бюджет устранение предписаний (S5630)</t>
  </si>
  <si>
    <t xml:space="preserve">иная цель местныйбюджет(S5630) устраниние предписаний </t>
  </si>
  <si>
    <t>на 2022г.</t>
  </si>
  <si>
    <t>Итого:</t>
  </si>
  <si>
    <t>Мебель</t>
  </si>
  <si>
    <t>Материалы</t>
  </si>
  <si>
    <t xml:space="preserve">Мебель </t>
  </si>
  <si>
    <t xml:space="preserve">Опубликование отчета в газете </t>
  </si>
  <si>
    <t xml:space="preserve">Н.С.Дмитриева </t>
  </si>
  <si>
    <t>И.О. директор              ________________________     _______________________</t>
  </si>
  <si>
    <t xml:space="preserve">Комплекс мероприятий по защите от тараканов </t>
  </si>
  <si>
    <t>гранты,гранты в форме субсидиий,поежртования, иные безвозмездные перечисления от физических и юридических лиц</t>
  </si>
  <si>
    <t>Безвозмездные денежные поступления</t>
  </si>
  <si>
    <t>ТКО,м3 1 полугодие</t>
  </si>
  <si>
    <t>ТКО,м3 2 полугодие</t>
  </si>
  <si>
    <t>гранты,гранты в форме субсидиий,пожертования, иные безвозмездные перечисления от физических и юридических лиц</t>
  </si>
  <si>
    <t xml:space="preserve">платные услуги (853) в том числе возмещеиие </t>
  </si>
  <si>
    <t xml:space="preserve">платные услуги (853) в том числе возмещение </t>
  </si>
  <si>
    <t>платные услуги (853)в том числе возмещение</t>
  </si>
  <si>
    <t>Возмещение коммунальных расходов (853)</t>
  </si>
  <si>
    <t>3.4.1. Обоснование (расчет) плановых показателей поступлений доходов по статье 150 "Безвозмездные денежные поступления".</t>
  </si>
  <si>
    <t xml:space="preserve">3.4. Обоснование (расчет) плановых показателей поступлений доходов по статье 150 "Безвозмездные денежные поступления". </t>
  </si>
  <si>
    <t>0100</t>
  </si>
  <si>
    <t>0200</t>
  </si>
  <si>
    <t>0300</t>
  </si>
  <si>
    <t>0310</t>
  </si>
  <si>
    <t>0320</t>
  </si>
  <si>
    <t>0330</t>
  </si>
  <si>
    <t>0400</t>
  </si>
  <si>
    <t>0500</t>
  </si>
  <si>
    <t>0600</t>
  </si>
  <si>
    <t>Горячая вода (компонент на тепловую энергию) 1 полугодие</t>
  </si>
  <si>
    <t>Горячая вода (компонент на тепловую энергию) 2 полугодие</t>
  </si>
  <si>
    <t xml:space="preserve"> </t>
  </si>
  <si>
    <t xml:space="preserve">Услуга по изготовлению ограждений на межэтажнве лестничные площадки </t>
  </si>
  <si>
    <t>иная цель местный бюджет школа 8061</t>
  </si>
  <si>
    <t xml:space="preserve">Линолиум </t>
  </si>
  <si>
    <t>Стройматериалы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</si>
</sst>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;[Red]0.00000"/>
    <numFmt numFmtId="165" formatCode="0.00000"/>
    <numFmt numFmtId="166" formatCode="0.0000"/>
    <numFmt numFmtId="167" formatCode="#,##0.000"/>
  </numFmts>
  <fonts count="2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indexed="12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i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12" fillId="0" borderId="0"/>
  </cellStyleXfs>
  <cellXfs count="44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0" borderId="0" xfId="0" applyFont="1"/>
    <xf numFmtId="0" fontId="6" fillId="0" borderId="1" xfId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0" xfId="0" applyFont="1" applyFill="1"/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9" fillId="0" borderId="0" xfId="0" applyFont="1"/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/>
    <xf numFmtId="4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4" fontId="9" fillId="0" borderId="0" xfId="0" applyNumberFormat="1" applyFont="1"/>
    <xf numFmtId="4" fontId="1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center" vertical="center" wrapText="1"/>
    </xf>
    <xf numFmtId="4" fontId="13" fillId="0" borderId="0" xfId="0" applyNumberFormat="1" applyFont="1"/>
    <xf numFmtId="4" fontId="14" fillId="2" borderId="1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 wrapText="1"/>
    </xf>
    <xf numFmtId="0" fontId="3" fillId="0" borderId="1" xfId="0" applyFont="1" applyBorder="1"/>
    <xf numFmtId="0" fontId="1" fillId="3" borderId="0" xfId="0" applyFont="1" applyFill="1"/>
    <xf numFmtId="4" fontId="1" fillId="3" borderId="0" xfId="0" applyNumberFormat="1" applyFont="1" applyFill="1"/>
    <xf numFmtId="4" fontId="5" fillId="5" borderId="1" xfId="0" applyNumberFormat="1" applyFont="1" applyFill="1" applyBorder="1" applyAlignment="1">
      <alignment vertical="center" wrapText="1"/>
    </xf>
    <xf numFmtId="4" fontId="5" fillId="5" borderId="1" xfId="0" applyNumberFormat="1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 wrapText="1"/>
    </xf>
    <xf numFmtId="0" fontId="1" fillId="4" borderId="0" xfId="0" applyFont="1" applyFill="1"/>
    <xf numFmtId="4" fontId="1" fillId="5" borderId="0" xfId="0" applyNumberFormat="1" applyFont="1" applyFill="1"/>
    <xf numFmtId="4" fontId="2" fillId="4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5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3" fontId="3" fillId="0" borderId="0" xfId="0" applyNumberFormat="1" applyFont="1"/>
    <xf numFmtId="4" fontId="3" fillId="0" borderId="1" xfId="0" applyNumberFormat="1" applyFont="1" applyBorder="1"/>
    <xf numFmtId="4" fontId="3" fillId="0" borderId="1" xfId="0" applyNumberFormat="1" applyFont="1" applyBorder="1" applyAlignment="1"/>
    <xf numFmtId="0" fontId="3" fillId="0" borderId="0" xfId="0" applyFont="1" applyBorder="1"/>
    <xf numFmtId="0" fontId="3" fillId="0" borderId="1" xfId="0" applyFont="1" applyBorder="1" applyAlignment="1">
      <alignment horizontal="center" wrapText="1"/>
    </xf>
    <xf numFmtId="4" fontId="3" fillId="5" borderId="0" xfId="0" applyNumberFormat="1" applyFont="1" applyFill="1"/>
    <xf numFmtId="0" fontId="3" fillId="3" borderId="0" xfId="0" applyFont="1" applyFill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 wrapText="1"/>
    </xf>
    <xf numFmtId="4" fontId="4" fillId="3" borderId="0" xfId="0" applyNumberFormat="1" applyFont="1" applyFill="1" applyBorder="1" applyAlignment="1">
      <alignment vertical="center" wrapText="1"/>
    </xf>
    <xf numFmtId="0" fontId="3" fillId="5" borderId="0" xfId="0" applyFont="1" applyFill="1"/>
    <xf numFmtId="4" fontId="3" fillId="0" borderId="0" xfId="0" applyNumberFormat="1" applyFont="1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3" borderId="0" xfId="0" applyNumberFormat="1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vertical="center" wrapText="1"/>
    </xf>
    <xf numFmtId="0" fontId="18" fillId="0" borderId="0" xfId="0" applyFont="1"/>
    <xf numFmtId="0" fontId="2" fillId="2" borderId="0" xfId="0" applyFont="1" applyFill="1"/>
    <xf numFmtId="0" fontId="19" fillId="0" borderId="1" xfId="0" applyFont="1" applyBorder="1" applyAlignment="1">
      <alignment wrapText="1"/>
    </xf>
    <xf numFmtId="4" fontId="19" fillId="0" borderId="1" xfId="0" applyNumberFormat="1" applyFont="1" applyFill="1" applyBorder="1" applyAlignment="1">
      <alignment horizontal="right" vertical="top"/>
    </xf>
    <xf numFmtId="0" fontId="19" fillId="0" borderId="1" xfId="0" applyFont="1" applyBorder="1"/>
    <xf numFmtId="4" fontId="19" fillId="0" borderId="1" xfId="0" applyNumberFormat="1" applyFont="1" applyBorder="1"/>
    <xf numFmtId="0" fontId="2" fillId="2" borderId="0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/>
    </xf>
    <xf numFmtId="4" fontId="19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wrapText="1"/>
    </xf>
    <xf numFmtId="4" fontId="19" fillId="0" borderId="1" xfId="0" applyNumberFormat="1" applyFont="1" applyBorder="1" applyAlignment="1">
      <alignment vertical="center"/>
    </xf>
    <xf numFmtId="0" fontId="19" fillId="0" borderId="1" xfId="0" applyFont="1" applyBorder="1" applyAlignment="1"/>
    <xf numFmtId="0" fontId="2" fillId="0" borderId="0" xfId="0" applyFont="1" applyBorder="1" applyAlignment="1">
      <alignment vertical="center" wrapText="1"/>
    </xf>
    <xf numFmtId="0" fontId="19" fillId="0" borderId="1" xfId="2" applyFont="1" applyBorder="1" applyAlignment="1">
      <alignment vertical="center" wrapText="1"/>
    </xf>
    <xf numFmtId="4" fontId="19" fillId="0" borderId="1" xfId="2" applyNumberFormat="1" applyFont="1" applyBorder="1" applyAlignment="1">
      <alignment horizontal="right" vertical="center" wrapText="1"/>
    </xf>
    <xf numFmtId="0" fontId="19" fillId="0" borderId="1" xfId="2" applyFont="1" applyBorder="1" applyAlignment="1">
      <alignment vertical="center"/>
    </xf>
    <xf numFmtId="4" fontId="19" fillId="0" borderId="1" xfId="2" applyNumberFormat="1" applyFont="1" applyBorder="1" applyAlignment="1">
      <alignment horizontal="right" vertical="center"/>
    </xf>
    <xf numFmtId="0" fontId="19" fillId="0" borderId="1" xfId="2" applyFont="1" applyBorder="1" applyAlignment="1">
      <alignment horizontal="left" vertical="center" wrapText="1"/>
    </xf>
    <xf numFmtId="0" fontId="19" fillId="2" borderId="0" xfId="0" applyFont="1" applyFill="1"/>
    <xf numFmtId="4" fontId="2" fillId="0" borderId="0" xfId="0" applyNumberFormat="1" applyFont="1"/>
    <xf numFmtId="0" fontId="19" fillId="0" borderId="1" xfId="0" applyFont="1" applyBorder="1" applyAlignment="1">
      <alignment horizontal="left" vertical="center"/>
    </xf>
    <xf numFmtId="0" fontId="19" fillId="3" borderId="1" xfId="0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4" borderId="0" xfId="0" applyFont="1" applyFill="1"/>
    <xf numFmtId="4" fontId="19" fillId="0" borderId="1" xfId="0" applyNumberFormat="1" applyFont="1" applyFill="1" applyBorder="1" applyAlignment="1">
      <alignment horizontal="right"/>
    </xf>
    <xf numFmtId="0" fontId="2" fillId="0" borderId="1" xfId="0" applyNumberFormat="1" applyFont="1" applyBorder="1" applyAlignment="1">
      <alignment horizontal="center" vertical="center" wrapText="1"/>
    </xf>
    <xf numFmtId="4" fontId="19" fillId="0" borderId="1" xfId="2" applyNumberFormat="1" applyFont="1" applyBorder="1" applyAlignment="1">
      <alignment horizontal="right"/>
    </xf>
    <xf numFmtId="0" fontId="1" fillId="0" borderId="1" xfId="0" applyFont="1" applyBorder="1" applyAlignment="1">
      <alignment vertical="center" wrapText="1"/>
    </xf>
    <xf numFmtId="0" fontId="1" fillId="5" borderId="0" xfId="0" applyFont="1" applyFill="1"/>
    <xf numFmtId="4" fontId="18" fillId="0" borderId="0" xfId="0" applyNumberFormat="1" applyFont="1"/>
    <xf numFmtId="4" fontId="14" fillId="4" borderId="1" xfId="0" applyNumberFormat="1" applyFont="1" applyFill="1" applyBorder="1" applyAlignment="1">
      <alignment vertical="center" wrapText="1"/>
    </xf>
    <xf numFmtId="4" fontId="5" fillId="5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" fillId="5" borderId="0" xfId="0" applyFont="1" applyFill="1" applyAlignment="1">
      <alignment horizontal="right"/>
    </xf>
    <xf numFmtId="0" fontId="2" fillId="0" borderId="1" xfId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2" fillId="0" borderId="0" xfId="0" applyFont="1"/>
    <xf numFmtId="49" fontId="22" fillId="0" borderId="0" xfId="0" applyNumberFormat="1" applyFont="1"/>
    <xf numFmtId="4" fontId="2" fillId="5" borderId="1" xfId="0" applyNumberFormat="1" applyFont="1" applyFill="1" applyBorder="1" applyAlignment="1">
      <alignment vertical="center" wrapText="1"/>
    </xf>
    <xf numFmtId="0" fontId="3" fillId="4" borderId="0" xfId="0" applyFont="1" applyFill="1"/>
    <xf numFmtId="0" fontId="18" fillId="4" borderId="0" xfId="0" applyFont="1" applyFill="1"/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5" borderId="0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4" fontId="3" fillId="0" borderId="0" xfId="0" applyNumberFormat="1" applyFont="1" applyBorder="1"/>
    <xf numFmtId="4" fontId="4" fillId="5" borderId="0" xfId="0" applyNumberFormat="1" applyFont="1" applyFill="1" applyBorder="1"/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" fontId="2" fillId="0" borderId="0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9" fillId="5" borderId="4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vertical="center" wrapText="1"/>
    </xf>
    <xf numFmtId="4" fontId="17" fillId="7" borderId="1" xfId="0" applyNumberFormat="1" applyFont="1" applyFill="1" applyBorder="1" applyAlignment="1">
      <alignment vertical="center" wrapText="1"/>
    </xf>
    <xf numFmtId="4" fontId="5" fillId="7" borderId="1" xfId="0" applyNumberFormat="1" applyFont="1" applyFill="1" applyBorder="1" applyAlignment="1">
      <alignment vertical="center" wrapText="1"/>
    </xf>
    <xf numFmtId="4" fontId="14" fillId="7" borderId="1" xfId="0" applyNumberFormat="1" applyFont="1" applyFill="1" applyBorder="1" applyAlignment="1">
      <alignment vertical="center" wrapText="1"/>
    </xf>
    <xf numFmtId="4" fontId="4" fillId="7" borderId="1" xfId="0" applyNumberFormat="1" applyFont="1" applyFill="1" applyBorder="1"/>
    <xf numFmtId="4" fontId="2" fillId="7" borderId="1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5" borderId="0" xfId="0" applyFont="1" applyFill="1" applyBorder="1"/>
    <xf numFmtId="4" fontId="3" fillId="5" borderId="0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7" borderId="1" xfId="0" applyNumberFormat="1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right"/>
    </xf>
    <xf numFmtId="4" fontId="5" fillId="7" borderId="1" xfId="0" applyNumberFormat="1" applyFont="1" applyFill="1" applyBorder="1" applyAlignment="1">
      <alignment vertical="center" wrapText="1"/>
    </xf>
    <xf numFmtId="4" fontId="2" fillId="7" borderId="1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left" wrapText="1"/>
    </xf>
    <xf numFmtId="0" fontId="18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18" fillId="4" borderId="1" xfId="0" applyFont="1" applyFill="1" applyBorder="1" applyAlignment="1">
      <alignment vertical="center" wrapText="1"/>
    </xf>
    <xf numFmtId="4" fontId="13" fillId="4" borderId="1" xfId="0" applyNumberFormat="1" applyFont="1" applyFill="1" applyBorder="1" applyAlignment="1">
      <alignment horizontal="right" vertical="center" wrapText="1"/>
    </xf>
    <xf numFmtId="4" fontId="18" fillId="3" borderId="3" xfId="0" applyNumberFormat="1" applyFont="1" applyFill="1" applyBorder="1" applyAlignment="1">
      <alignment horizontal="center" vertical="center" wrapText="1"/>
    </xf>
    <xf numFmtId="4" fontId="18" fillId="3" borderId="3" xfId="0" applyNumberFormat="1" applyFont="1" applyFill="1" applyBorder="1" applyAlignment="1">
      <alignment horizontal="right" vertical="center" wrapText="1"/>
    </xf>
    <xf numFmtId="4" fontId="18" fillId="3" borderId="4" xfId="0" applyNumberFormat="1" applyFont="1" applyFill="1" applyBorder="1" applyAlignment="1">
      <alignment horizontal="center" vertical="center" wrapText="1"/>
    </xf>
    <xf numFmtId="4" fontId="18" fillId="3" borderId="4" xfId="0" applyNumberFormat="1" applyFont="1" applyFill="1" applyBorder="1" applyAlignment="1">
      <alignment horizontal="right" vertical="center" wrapText="1"/>
    </xf>
    <xf numFmtId="4" fontId="18" fillId="3" borderId="1" xfId="0" applyNumberFormat="1" applyFont="1" applyFill="1" applyBorder="1" applyAlignment="1">
      <alignment horizontal="right" vertical="center" wrapText="1"/>
    </xf>
    <xf numFmtId="0" fontId="18" fillId="5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horizontal="center" vertical="center" wrapText="1"/>
    </xf>
    <xf numFmtId="4" fontId="18" fillId="5" borderId="1" xfId="0" applyNumberFormat="1" applyFont="1" applyFill="1" applyBorder="1" applyAlignment="1">
      <alignment horizontal="right" vertical="center" wrapText="1"/>
    </xf>
    <xf numFmtId="0" fontId="18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right" vertical="center" wrapText="1"/>
    </xf>
    <xf numFmtId="4" fontId="18" fillId="5" borderId="1" xfId="0" applyNumberFormat="1" applyFont="1" applyFill="1" applyBorder="1" applyAlignment="1">
      <alignment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" fontId="18" fillId="4" borderId="1" xfId="0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vertical="center" wrapText="1"/>
    </xf>
    <xf numFmtId="0" fontId="18" fillId="3" borderId="0" xfId="0" applyFont="1" applyFill="1" applyBorder="1" applyAlignment="1">
      <alignment horizontal="center" vertical="center" wrapText="1"/>
    </xf>
    <xf numFmtId="4" fontId="18" fillId="3" borderId="0" xfId="0" applyNumberFormat="1" applyFont="1" applyFill="1" applyBorder="1" applyAlignment="1">
      <alignment vertical="center" wrapText="1"/>
    </xf>
    <xf numFmtId="4" fontId="18" fillId="0" borderId="0" xfId="0" applyNumberFormat="1" applyFont="1" applyBorder="1" applyAlignment="1">
      <alignment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4" fontId="13" fillId="5" borderId="0" xfId="0" applyNumberFormat="1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1" fillId="0" borderId="0" xfId="0" applyFont="1" applyBorder="1"/>
    <xf numFmtId="4" fontId="1" fillId="0" borderId="0" xfId="0" applyNumberFormat="1" applyFont="1" applyBorder="1"/>
    <xf numFmtId="0" fontId="18" fillId="0" borderId="0" xfId="0" applyFont="1" applyBorder="1"/>
    <xf numFmtId="0" fontId="18" fillId="5" borderId="0" xfId="0" applyFont="1" applyFill="1" applyBorder="1"/>
    <xf numFmtId="0" fontId="18" fillId="0" borderId="0" xfId="0" applyFont="1" applyBorder="1" applyAlignment="1">
      <alignment horizontal="center" vertical="center"/>
    </xf>
    <xf numFmtId="4" fontId="13" fillId="5" borderId="0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2" fillId="7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4" fontId="18" fillId="3" borderId="1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vertical="center" wrapText="1"/>
    </xf>
    <xf numFmtId="4" fontId="20" fillId="4" borderId="1" xfId="0" applyNumberFormat="1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horizontal="right" vertical="center" wrapText="1"/>
    </xf>
    <xf numFmtId="4" fontId="5" fillId="4" borderId="1" xfId="0" applyNumberFormat="1" applyFont="1" applyFill="1" applyBorder="1" applyAlignment="1">
      <alignment vertical="center" wrapText="1"/>
    </xf>
    <xf numFmtId="4" fontId="17" fillId="4" borderId="1" xfId="0" applyNumberFormat="1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vertical="center" wrapText="1"/>
    </xf>
    <xf numFmtId="4" fontId="21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vertical="center" wrapText="1"/>
    </xf>
    <xf numFmtId="4" fontId="13" fillId="8" borderId="1" xfId="0" applyNumberFormat="1" applyFont="1" applyFill="1" applyBorder="1" applyAlignment="1">
      <alignment horizontal="right" vertical="center" wrapText="1"/>
    </xf>
    <xf numFmtId="4" fontId="13" fillId="8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/>
    <xf numFmtId="4" fontId="3" fillId="0" borderId="1" xfId="0" applyNumberFormat="1" applyFont="1" applyBorder="1" applyAlignment="1">
      <alignment horizontal="center"/>
    </xf>
    <xf numFmtId="4" fontId="14" fillId="4" borderId="0" xfId="0" applyNumberFormat="1" applyFont="1" applyFill="1"/>
    <xf numFmtId="4" fontId="1" fillId="4" borderId="1" xfId="0" applyNumberFormat="1" applyFont="1" applyFill="1" applyBorder="1" applyAlignment="1">
      <alignment vertical="center" wrapText="1"/>
    </xf>
    <xf numFmtId="4" fontId="13" fillId="8" borderId="1" xfId="0" applyNumberFormat="1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21" fillId="0" borderId="0" xfId="0" applyNumberFormat="1" applyFont="1"/>
    <xf numFmtId="0" fontId="18" fillId="3" borderId="1" xfId="0" applyFont="1" applyFill="1" applyBorder="1"/>
    <xf numFmtId="0" fontId="18" fillId="5" borderId="1" xfId="0" applyFont="1" applyFill="1" applyBorder="1"/>
    <xf numFmtId="4" fontId="18" fillId="3" borderId="1" xfId="0" applyNumberFormat="1" applyFont="1" applyFill="1" applyBorder="1"/>
    <xf numFmtId="0" fontId="18" fillId="0" borderId="1" xfId="0" applyFont="1" applyBorder="1"/>
    <xf numFmtId="4" fontId="13" fillId="8" borderId="1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4" fontId="18" fillId="5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right" vertical="center" wrapText="1"/>
    </xf>
    <xf numFmtId="4" fontId="13" fillId="0" borderId="0" xfId="0" applyNumberFormat="1" applyFont="1" applyFill="1" applyBorder="1" applyAlignment="1">
      <alignment vertical="center" wrapText="1"/>
    </xf>
    <xf numFmtId="4" fontId="13" fillId="4" borderId="2" xfId="0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4" borderId="1" xfId="0" applyNumberFormat="1" applyFont="1" applyFill="1" applyBorder="1" applyAlignment="1">
      <alignment vertical="center" wrapText="1"/>
    </xf>
    <xf numFmtId="0" fontId="18" fillId="0" borderId="0" xfId="0" applyFont="1" applyFill="1" applyAlignment="1">
      <alignment horizontal="left" wrapText="1"/>
    </xf>
    <xf numFmtId="0" fontId="18" fillId="0" borderId="0" xfId="0" applyFont="1" applyFill="1"/>
    <xf numFmtId="0" fontId="18" fillId="0" borderId="1" xfId="0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right" vertical="center" wrapText="1"/>
    </xf>
    <xf numFmtId="4" fontId="18" fillId="0" borderId="3" xfId="0" applyNumberFormat="1" applyFont="1" applyFill="1" applyBorder="1" applyAlignment="1">
      <alignment horizontal="right" wrapText="1"/>
    </xf>
    <xf numFmtId="4" fontId="18" fillId="0" borderId="4" xfId="0" applyNumberFormat="1" applyFont="1" applyFill="1" applyBorder="1" applyAlignment="1">
      <alignment horizontal="right" wrapText="1"/>
    </xf>
    <xf numFmtId="0" fontId="18" fillId="0" borderId="8" xfId="0" applyFont="1" applyFill="1" applyBorder="1"/>
    <xf numFmtId="4" fontId="18" fillId="0" borderId="0" xfId="0" applyNumberFormat="1" applyFont="1" applyFill="1" applyBorder="1" applyAlignment="1">
      <alignment vertical="center" wrapText="1"/>
    </xf>
    <xf numFmtId="0" fontId="1" fillId="0" borderId="0" xfId="0" applyFont="1" applyFill="1"/>
    <xf numFmtId="4" fontId="9" fillId="4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18" fillId="0" borderId="0" xfId="0" applyFont="1" applyAlignment="1">
      <alignment horizontal="left" wrapText="1"/>
    </xf>
    <xf numFmtId="4" fontId="18" fillId="3" borderId="1" xfId="0" applyNumberFormat="1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" fontId="14" fillId="4" borderId="1" xfId="0" applyNumberFormat="1" applyFont="1" applyFill="1" applyBorder="1"/>
    <xf numFmtId="4" fontId="9" fillId="4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18" fillId="0" borderId="0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vertical="center" wrapText="1"/>
    </xf>
    <xf numFmtId="4" fontId="3" fillId="4" borderId="3" xfId="0" applyNumberFormat="1" applyFont="1" applyFill="1" applyBorder="1" applyAlignment="1">
      <alignment vertical="center" wrapText="1"/>
    </xf>
    <xf numFmtId="4" fontId="3" fillId="4" borderId="4" xfId="0" applyNumberFormat="1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4" fontId="5" fillId="4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vertical="center" wrapText="1"/>
    </xf>
    <xf numFmtId="4" fontId="2" fillId="5" borderId="0" xfId="0" applyNumberFormat="1" applyFont="1" applyFill="1"/>
    <xf numFmtId="0" fontId="2" fillId="5" borderId="0" xfId="0" applyFont="1" applyFill="1"/>
    <xf numFmtId="0" fontId="2" fillId="5" borderId="0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vertical="center" wrapText="1"/>
    </xf>
    <xf numFmtId="167" fontId="2" fillId="4" borderId="1" xfId="0" applyNumberFormat="1" applyFont="1" applyFill="1" applyBorder="1" applyAlignment="1">
      <alignment vertical="center" wrapText="1"/>
    </xf>
    <xf numFmtId="167" fontId="2" fillId="0" borderId="0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4" fontId="21" fillId="8" borderId="1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9" fillId="5" borderId="3" xfId="0" applyNumberFormat="1" applyFont="1" applyFill="1" applyBorder="1" applyAlignment="1">
      <alignment horizontal="right" vertical="center" wrapText="1"/>
    </xf>
    <xf numFmtId="4" fontId="9" fillId="5" borderId="4" xfId="0" applyNumberFormat="1" applyFont="1" applyFill="1" applyBorder="1" applyAlignment="1">
      <alignment horizontal="right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7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21" fillId="0" borderId="0" xfId="0" applyFont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5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7" xfId="0" applyFont="1" applyBorder="1" applyAlignment="1">
      <alignment horizontal="center"/>
    </xf>
    <xf numFmtId="4" fontId="5" fillId="0" borderId="1" xfId="0" applyNumberFormat="1" applyFont="1" applyBorder="1" applyAlignment="1">
      <alignment vertical="center" wrapText="1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4" fontId="18" fillId="5" borderId="3" xfId="0" applyNumberFormat="1" applyFont="1" applyFill="1" applyBorder="1" applyAlignment="1">
      <alignment horizontal="right" wrapText="1"/>
    </xf>
    <xf numFmtId="4" fontId="18" fillId="5" borderId="4" xfId="0" applyNumberFormat="1" applyFont="1" applyFill="1" applyBorder="1" applyAlignment="1">
      <alignment horizontal="right" wrapText="1"/>
    </xf>
    <xf numFmtId="4" fontId="18" fillId="3" borderId="1" xfId="0" applyNumberFormat="1" applyFont="1" applyFill="1" applyBorder="1" applyAlignment="1">
      <alignment horizontal="right" vertical="center" wrapText="1"/>
    </xf>
    <xf numFmtId="4" fontId="18" fillId="3" borderId="3" xfId="0" applyNumberFormat="1" applyFont="1" applyFill="1" applyBorder="1" applyAlignment="1">
      <alignment horizontal="center" wrapText="1"/>
    </xf>
    <xf numFmtId="4" fontId="18" fillId="3" borderId="4" xfId="0" applyNumberFormat="1" applyFont="1" applyFill="1" applyBorder="1" applyAlignment="1">
      <alignment horizont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4" fontId="18" fillId="0" borderId="3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4" fontId="18" fillId="4" borderId="3" xfId="0" applyNumberFormat="1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4" fontId="18" fillId="4" borderId="4" xfId="0" applyNumberFormat="1" applyFont="1" applyFill="1" applyBorder="1" applyAlignment="1">
      <alignment horizontal="center" vertical="center" wrapText="1"/>
    </xf>
    <xf numFmtId="4" fontId="18" fillId="3" borderId="3" xfId="0" applyNumberFormat="1" applyFont="1" applyFill="1" applyBorder="1" applyAlignment="1">
      <alignment horizontal="center" vertical="center" wrapText="1"/>
    </xf>
    <xf numFmtId="4" fontId="18" fillId="3" borderId="4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" fontId="18" fillId="3" borderId="1" xfId="0" applyNumberFormat="1" applyFont="1" applyFill="1" applyBorder="1" applyAlignment="1">
      <alignment horizontal="right" wrapText="1"/>
    </xf>
    <xf numFmtId="0" fontId="18" fillId="0" borderId="9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4" fontId="18" fillId="3" borderId="3" xfId="0" applyNumberFormat="1" applyFont="1" applyFill="1" applyBorder="1" applyAlignment="1">
      <alignment horizontal="right" wrapText="1"/>
    </xf>
    <xf numFmtId="4" fontId="18" fillId="3" borderId="4" xfId="0" applyNumberFormat="1" applyFont="1" applyFill="1" applyBorder="1" applyAlignment="1">
      <alignment horizontal="right" wrapText="1"/>
    </xf>
    <xf numFmtId="0" fontId="18" fillId="0" borderId="9" xfId="0" applyFont="1" applyBorder="1" applyAlignment="1">
      <alignment horizontal="center" vertical="center" wrapText="1"/>
    </xf>
    <xf numFmtId="4" fontId="2" fillId="5" borderId="9" xfId="0" applyNumberFormat="1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A700257297D7A859C030468B937B2DBD85E5EB9E60602AC230D6E9DC28482863625EFFB5D1534D768A4F99306AV1B3I" TargetMode="External"/><Relationship Id="rId3" Type="http://schemas.openxmlformats.org/officeDocument/2006/relationships/hyperlink" Target="consultantplus://offline/ref=A700257297D7A859C030468B937B2DBD85E4EF9A61612AC230D6E9DC28482863705EA7BBD15F557DD700DF65661BC70C92EDF194103DVEB9I" TargetMode="External"/><Relationship Id="rId7" Type="http://schemas.openxmlformats.org/officeDocument/2006/relationships/hyperlink" Target="consultantplus://offline/ref=A700257297D7A859C030468B937B2DBD85E5EB9C656B2AC230D6E9DC28482863625EFFB5D1534D768A4F99306AV1B3I" TargetMode="External"/><Relationship Id="rId2" Type="http://schemas.openxmlformats.org/officeDocument/2006/relationships/hyperlink" Target="consultantplus://offline/ref=A700257297D7A859C030468B937B2DBD85E5EB9C656B2AC230D6E9DC28482863625EFFB5D1534D768A4F99306AV1B3I" TargetMode="External"/><Relationship Id="rId1" Type="http://schemas.openxmlformats.org/officeDocument/2006/relationships/hyperlink" Target="consultantplus://offline/ref=A700257297D7A859C030468B937B2DBD85E5EB9C656B2AC230D6E9DC28482863625EFFB5D1534D768A4F99306AV1B3I" TargetMode="External"/><Relationship Id="rId6" Type="http://schemas.openxmlformats.org/officeDocument/2006/relationships/hyperlink" Target="consultantplus://offline/ref=A700257297D7A859C030468B937B2DBD85E5EB9E60602AC230D6E9DC28482863625EFFB5D1534D768A4F99306AV1B3I" TargetMode="External"/><Relationship Id="rId5" Type="http://schemas.openxmlformats.org/officeDocument/2006/relationships/hyperlink" Target="consultantplus://offline/ref=A700257297D7A859C030468B937B2DBD85E5EB9C656B2AC230D6E9DC28482863625EFFB5D1534D768A4F99306AV1B3I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consultantplus://offline/ref=A700257297D7A859C030468B937B2DBD85E5EB9C656B2AC230D6E9DC28482863625EFFB5D1534D768A4F99306AV1B3I" TargetMode="External"/><Relationship Id="rId9" Type="http://schemas.openxmlformats.org/officeDocument/2006/relationships/hyperlink" Target="consultantplus://offline/ref=A700257297D7A859C030468B937B2DBD85E5EB9E60602AC230D6E9DC28482863625EFFB5D1534D768A4F99306AV1B3I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95"/>
  <sheetViews>
    <sheetView view="pageLayout" topLeftCell="A19" workbookViewId="0">
      <selection activeCell="E21" sqref="E21"/>
    </sheetView>
  </sheetViews>
  <sheetFormatPr defaultRowHeight="12.75" x14ac:dyDescent="0.2"/>
  <cols>
    <col min="1" max="1" width="37.85546875" style="18" customWidth="1"/>
    <col min="2" max="2" width="9.140625" style="18"/>
    <col min="3" max="3" width="10.28515625" style="18" customWidth="1"/>
    <col min="4" max="4" width="16.85546875" style="18" customWidth="1"/>
    <col min="5" max="5" width="16" style="18" customWidth="1"/>
    <col min="6" max="6" width="15" style="18" customWidth="1"/>
    <col min="7" max="7" width="13.5703125" style="18" customWidth="1"/>
    <col min="8" max="11" width="13.42578125" style="18" customWidth="1"/>
    <col min="12" max="12" width="10.85546875" style="18" bestFit="1" customWidth="1"/>
    <col min="13" max="16384" width="9.140625" style="18"/>
  </cols>
  <sheetData>
    <row r="1" spans="1:13" ht="23.25" customHeight="1" x14ac:dyDescent="0.2">
      <c r="A1" s="372" t="s">
        <v>68</v>
      </c>
      <c r="B1" s="372"/>
      <c r="C1" s="372"/>
      <c r="D1" s="372"/>
    </row>
    <row r="2" spans="1:13" ht="22.5" customHeight="1" x14ac:dyDescent="0.2">
      <c r="A2" s="358" t="s">
        <v>0</v>
      </c>
      <c r="B2" s="358" t="s">
        <v>1</v>
      </c>
      <c r="C2" s="362" t="s">
        <v>2</v>
      </c>
      <c r="D2" s="358" t="s">
        <v>3</v>
      </c>
      <c r="E2" s="358"/>
      <c r="F2" s="358"/>
      <c r="G2" s="358"/>
      <c r="H2" s="358"/>
      <c r="I2" s="358"/>
      <c r="J2" s="358"/>
      <c r="K2" s="358"/>
    </row>
    <row r="3" spans="1:13" ht="18" customHeight="1" x14ac:dyDescent="0.2">
      <c r="A3" s="358"/>
      <c r="B3" s="358"/>
      <c r="C3" s="362"/>
      <c r="D3" s="358" t="s">
        <v>418</v>
      </c>
      <c r="E3" s="358"/>
      <c r="F3" s="358" t="s">
        <v>548</v>
      </c>
      <c r="G3" s="358"/>
      <c r="H3" s="358" t="s">
        <v>583</v>
      </c>
      <c r="I3" s="358"/>
      <c r="J3" s="358" t="s">
        <v>4</v>
      </c>
      <c r="K3" s="358"/>
    </row>
    <row r="4" spans="1:13" ht="22.5" customHeight="1" x14ac:dyDescent="0.2">
      <c r="A4" s="358"/>
      <c r="B4" s="358"/>
      <c r="C4" s="362"/>
      <c r="D4" s="358" t="s">
        <v>5</v>
      </c>
      <c r="E4" s="358"/>
      <c r="F4" s="358" t="s">
        <v>6</v>
      </c>
      <c r="G4" s="358"/>
      <c r="H4" s="358" t="s">
        <v>7</v>
      </c>
      <c r="I4" s="358"/>
      <c r="J4" s="358"/>
      <c r="K4" s="358"/>
    </row>
    <row r="5" spans="1:13" ht="69.75" customHeight="1" x14ac:dyDescent="0.2">
      <c r="A5" s="358"/>
      <c r="B5" s="358"/>
      <c r="C5" s="362"/>
      <c r="D5" s="218" t="s">
        <v>8</v>
      </c>
      <c r="E5" s="218" t="s">
        <v>9</v>
      </c>
      <c r="F5" s="218" t="s">
        <v>8</v>
      </c>
      <c r="G5" s="218" t="s">
        <v>9</v>
      </c>
      <c r="H5" s="218" t="s">
        <v>8</v>
      </c>
      <c r="I5" s="218" t="s">
        <v>9</v>
      </c>
      <c r="J5" s="19" t="s">
        <v>8</v>
      </c>
      <c r="K5" s="19" t="s">
        <v>9</v>
      </c>
    </row>
    <row r="6" spans="1:13" ht="21" customHeight="1" x14ac:dyDescent="0.2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</row>
    <row r="7" spans="1:13" ht="28.5" customHeight="1" x14ac:dyDescent="0.2">
      <c r="A7" s="25" t="s">
        <v>10</v>
      </c>
      <c r="B7" s="19">
        <v>1</v>
      </c>
      <c r="C7" s="19" t="s">
        <v>11</v>
      </c>
      <c r="D7" s="232">
        <v>0</v>
      </c>
      <c r="E7" s="232">
        <v>109759.53</v>
      </c>
      <c r="F7" s="20"/>
      <c r="G7" s="20"/>
      <c r="H7" s="20"/>
      <c r="I7" s="20"/>
      <c r="J7" s="20"/>
      <c r="K7" s="20"/>
      <c r="L7" s="27"/>
    </row>
    <row r="8" spans="1:13" ht="30.75" customHeight="1" x14ac:dyDescent="0.2">
      <c r="A8" s="25" t="s">
        <v>12</v>
      </c>
      <c r="B8" s="19">
        <v>2</v>
      </c>
      <c r="C8" s="19" t="s">
        <v>11</v>
      </c>
      <c r="D8" s="20"/>
      <c r="E8" s="20"/>
      <c r="F8" s="20"/>
      <c r="G8" s="20"/>
      <c r="H8" s="20"/>
      <c r="I8" s="20"/>
      <c r="J8" s="20"/>
      <c r="K8" s="20"/>
      <c r="L8" s="27"/>
    </row>
    <row r="9" spans="1:13" ht="25.5" customHeight="1" x14ac:dyDescent="0.2">
      <c r="A9" s="25" t="s">
        <v>332</v>
      </c>
      <c r="B9" s="19">
        <v>3</v>
      </c>
      <c r="C9" s="19" t="s">
        <v>11</v>
      </c>
      <c r="D9" s="20"/>
      <c r="E9" s="310"/>
      <c r="F9" s="20"/>
      <c r="G9" s="20"/>
      <c r="H9" s="20"/>
      <c r="I9" s="20"/>
      <c r="J9" s="20"/>
      <c r="K9" s="20"/>
      <c r="L9" s="27"/>
    </row>
    <row r="10" spans="1:13" ht="29.25" customHeight="1" x14ac:dyDescent="0.2">
      <c r="A10" s="21" t="s">
        <v>13</v>
      </c>
      <c r="B10" s="19">
        <v>1000</v>
      </c>
      <c r="C10" s="21"/>
      <c r="D10" s="308">
        <f>D17+D32+D26</f>
        <v>62490270.359999999</v>
      </c>
      <c r="E10" s="308">
        <f>E17+E25</f>
        <v>2561864.64</v>
      </c>
      <c r="F10" s="308">
        <f>F17+F26</f>
        <v>60480551</v>
      </c>
      <c r="G10" s="308">
        <f>G17</f>
        <v>2551864.64</v>
      </c>
      <c r="H10" s="308">
        <f>H17+H26</f>
        <v>55839044.990000002</v>
      </c>
      <c r="I10" s="308">
        <f>I17</f>
        <v>2055400</v>
      </c>
      <c r="K10" s="20"/>
      <c r="L10" s="27"/>
    </row>
    <row r="11" spans="1:13" ht="18.75" customHeight="1" x14ac:dyDescent="0.2">
      <c r="A11" s="21" t="s">
        <v>14</v>
      </c>
      <c r="B11" s="358">
        <v>1100</v>
      </c>
      <c r="C11" s="358">
        <v>120</v>
      </c>
      <c r="D11" s="360" t="s">
        <v>11</v>
      </c>
      <c r="E11" s="361">
        <f>'3.1.1.'!C12</f>
        <v>0</v>
      </c>
      <c r="F11" s="360" t="s">
        <v>11</v>
      </c>
      <c r="G11" s="359">
        <v>0</v>
      </c>
      <c r="H11" s="360" t="s">
        <v>11</v>
      </c>
      <c r="I11" s="359"/>
      <c r="J11" s="360"/>
      <c r="K11" s="359"/>
      <c r="L11" s="27"/>
    </row>
    <row r="12" spans="1:13" ht="15" customHeight="1" x14ac:dyDescent="0.2">
      <c r="A12" s="21" t="s">
        <v>15</v>
      </c>
      <c r="B12" s="358"/>
      <c r="C12" s="358"/>
      <c r="D12" s="360"/>
      <c r="E12" s="361"/>
      <c r="F12" s="360"/>
      <c r="G12" s="359"/>
      <c r="H12" s="360"/>
      <c r="I12" s="359"/>
      <c r="J12" s="360"/>
      <c r="K12" s="359"/>
      <c r="L12" s="27"/>
      <c r="M12" s="27"/>
    </row>
    <row r="13" spans="1:13" ht="18" customHeight="1" x14ac:dyDescent="0.2">
      <c r="A13" s="21" t="s">
        <v>14</v>
      </c>
      <c r="B13" s="22"/>
      <c r="C13" s="22"/>
      <c r="D13" s="23" t="s">
        <v>11</v>
      </c>
      <c r="E13" s="219"/>
      <c r="F13" s="23" t="s">
        <v>11</v>
      </c>
      <c r="G13" s="20"/>
      <c r="H13" s="23" t="s">
        <v>11</v>
      </c>
      <c r="I13" s="20"/>
      <c r="J13" s="23" t="s">
        <v>11</v>
      </c>
      <c r="K13" s="20"/>
      <c r="L13" s="27"/>
    </row>
    <row r="14" spans="1:13" ht="38.25" x14ac:dyDescent="0.2">
      <c r="A14" s="21" t="s">
        <v>16</v>
      </c>
      <c r="B14" s="19">
        <v>1110</v>
      </c>
      <c r="C14" s="19">
        <v>120</v>
      </c>
      <c r="D14" s="23" t="s">
        <v>11</v>
      </c>
      <c r="E14" s="219">
        <f>'3.1.1.'!C13:C14</f>
        <v>0</v>
      </c>
      <c r="F14" s="20"/>
      <c r="G14" s="20">
        <v>0</v>
      </c>
      <c r="H14" s="20"/>
      <c r="I14" s="20"/>
      <c r="J14" s="20"/>
      <c r="K14" s="20"/>
    </row>
    <row r="15" spans="1:13" ht="38.25" x14ac:dyDescent="0.2">
      <c r="A15" s="21" t="s">
        <v>17</v>
      </c>
      <c r="B15" s="19">
        <v>1120</v>
      </c>
      <c r="C15" s="19">
        <v>120</v>
      </c>
      <c r="D15" s="23" t="s">
        <v>11</v>
      </c>
      <c r="E15" s="219">
        <f>'3.1.1.'!C15</f>
        <v>0</v>
      </c>
      <c r="F15" s="23" t="s">
        <v>11</v>
      </c>
      <c r="G15" s="20">
        <v>0</v>
      </c>
      <c r="H15" s="23" t="s">
        <v>11</v>
      </c>
      <c r="I15" s="20"/>
      <c r="J15" s="23" t="s">
        <v>11</v>
      </c>
      <c r="K15" s="20"/>
    </row>
    <row r="16" spans="1:13" ht="38.25" x14ac:dyDescent="0.2">
      <c r="A16" s="21" t="s">
        <v>18</v>
      </c>
      <c r="B16" s="19">
        <v>1130</v>
      </c>
      <c r="C16" s="19">
        <v>120</v>
      </c>
      <c r="D16" s="23" t="s">
        <v>11</v>
      </c>
      <c r="E16" s="219">
        <f>'3.1.1.'!C17</f>
        <v>0</v>
      </c>
      <c r="F16" s="23" t="s">
        <v>11</v>
      </c>
      <c r="G16" s="20">
        <v>0</v>
      </c>
      <c r="H16" s="23" t="s">
        <v>11</v>
      </c>
      <c r="I16" s="20"/>
      <c r="J16" s="23" t="s">
        <v>11</v>
      </c>
      <c r="K16" s="20"/>
    </row>
    <row r="17" spans="1:11" ht="28.5" customHeight="1" x14ac:dyDescent="0.2">
      <c r="A17" s="21" t="s">
        <v>19</v>
      </c>
      <c r="B17" s="19">
        <v>1200</v>
      </c>
      <c r="C17" s="19">
        <v>130</v>
      </c>
      <c r="D17" s="232">
        <f>D18</f>
        <v>45882445</v>
      </c>
      <c r="E17" s="232">
        <f>E20+E21+E22</f>
        <v>2551864.64</v>
      </c>
      <c r="F17" s="232">
        <f>F18</f>
        <v>45417525</v>
      </c>
      <c r="G17" s="232">
        <f>G20+G21+G22+G25</f>
        <v>2551864.64</v>
      </c>
      <c r="H17" s="232">
        <f>H18</f>
        <v>40675900</v>
      </c>
      <c r="I17" s="232">
        <f>I20+I21+I22</f>
        <v>2055400</v>
      </c>
      <c r="J17" s="20"/>
      <c r="K17" s="20"/>
    </row>
    <row r="18" spans="1:11" ht="17.25" customHeight="1" x14ac:dyDescent="0.2">
      <c r="A18" s="21" t="s">
        <v>14</v>
      </c>
      <c r="B18" s="358">
        <v>1210</v>
      </c>
      <c r="C18" s="358">
        <v>130</v>
      </c>
      <c r="D18" s="363">
        <v>45882445</v>
      </c>
      <c r="E18" s="358" t="s">
        <v>11</v>
      </c>
      <c r="F18" s="363">
        <v>45417525</v>
      </c>
      <c r="G18" s="358" t="s">
        <v>11</v>
      </c>
      <c r="H18" s="363">
        <v>40675900</v>
      </c>
      <c r="I18" s="358" t="s">
        <v>11</v>
      </c>
      <c r="J18" s="359"/>
      <c r="K18" s="358" t="s">
        <v>11</v>
      </c>
    </row>
    <row r="19" spans="1:11" ht="25.5" x14ac:dyDescent="0.2">
      <c r="A19" s="21" t="s">
        <v>20</v>
      </c>
      <c r="B19" s="358"/>
      <c r="C19" s="358"/>
      <c r="D19" s="363"/>
      <c r="E19" s="358"/>
      <c r="F19" s="363"/>
      <c r="G19" s="358"/>
      <c r="H19" s="363"/>
      <c r="I19" s="358"/>
      <c r="J19" s="359"/>
      <c r="K19" s="358"/>
    </row>
    <row r="20" spans="1:11" ht="38.25" x14ac:dyDescent="0.2">
      <c r="A20" s="21" t="s">
        <v>274</v>
      </c>
      <c r="B20" s="19">
        <v>1220</v>
      </c>
      <c r="C20" s="19">
        <v>130</v>
      </c>
      <c r="D20" s="19" t="s">
        <v>11</v>
      </c>
      <c r="E20" s="232">
        <f>'3.2.3'!I8</f>
        <v>532600</v>
      </c>
      <c r="F20" s="19" t="s">
        <v>11</v>
      </c>
      <c r="G20" s="232">
        <f>'3.2.3'!J8</f>
        <v>532600</v>
      </c>
      <c r="H20" s="19" t="s">
        <v>11</v>
      </c>
      <c r="I20" s="232">
        <f>'3.2.3'!K8</f>
        <v>532600</v>
      </c>
      <c r="J20" s="19" t="s">
        <v>11</v>
      </c>
      <c r="K20" s="20"/>
    </row>
    <row r="21" spans="1:11" ht="63.75" x14ac:dyDescent="0.2">
      <c r="A21" s="21" t="s">
        <v>21</v>
      </c>
      <c r="B21" s="19">
        <v>1230</v>
      </c>
      <c r="C21" s="19">
        <v>130</v>
      </c>
      <c r="D21" s="19" t="s">
        <v>11</v>
      </c>
      <c r="E21" s="312">
        <f>'3.2.4'!I20</f>
        <v>1522800</v>
      </c>
      <c r="F21" s="19" t="s">
        <v>11</v>
      </c>
      <c r="G21" s="232">
        <f>'3.2.4'!J20</f>
        <v>1522800</v>
      </c>
      <c r="H21" s="19" t="s">
        <v>11</v>
      </c>
      <c r="I21" s="232">
        <f>'3.2.4'!K20</f>
        <v>1522800</v>
      </c>
      <c r="J21" s="19" t="s">
        <v>11</v>
      </c>
      <c r="K21" s="20"/>
    </row>
    <row r="22" spans="1:11" ht="51" x14ac:dyDescent="0.2">
      <c r="A22" s="21" t="s">
        <v>22</v>
      </c>
      <c r="B22" s="19">
        <v>1240</v>
      </c>
      <c r="C22" s="19">
        <v>130</v>
      </c>
      <c r="D22" s="19" t="s">
        <v>11</v>
      </c>
      <c r="E22" s="232">
        <f>'3.2.5'!I15</f>
        <v>496464.64000000001</v>
      </c>
      <c r="F22" s="19" t="s">
        <v>11</v>
      </c>
      <c r="G22" s="280">
        <f>'3.2.5'!J15</f>
        <v>496464.64000000001</v>
      </c>
      <c r="H22" s="19" t="s">
        <v>11</v>
      </c>
      <c r="I22" s="219"/>
      <c r="J22" s="19" t="s">
        <v>11</v>
      </c>
      <c r="K22" s="309"/>
    </row>
    <row r="23" spans="1:11" ht="25.5" x14ac:dyDescent="0.2">
      <c r="A23" s="21" t="s">
        <v>23</v>
      </c>
      <c r="B23" s="19">
        <v>1300</v>
      </c>
      <c r="C23" s="19">
        <v>140</v>
      </c>
      <c r="D23" s="19" t="s">
        <v>11</v>
      </c>
      <c r="E23" s="21"/>
      <c r="F23" s="19" t="s">
        <v>11</v>
      </c>
      <c r="G23" s="279"/>
      <c r="H23" s="19" t="s">
        <v>11</v>
      </c>
      <c r="I23" s="21"/>
      <c r="J23" s="19" t="s">
        <v>11</v>
      </c>
      <c r="K23" s="21"/>
    </row>
    <row r="24" spans="1:11" ht="14.25" customHeight="1" x14ac:dyDescent="0.2">
      <c r="A24" s="21" t="s">
        <v>14</v>
      </c>
      <c r="B24" s="19">
        <v>1310</v>
      </c>
      <c r="C24" s="19">
        <v>140</v>
      </c>
      <c r="D24" s="21"/>
      <c r="E24" s="21"/>
      <c r="F24" s="21"/>
      <c r="G24" s="21"/>
      <c r="H24" s="21"/>
      <c r="I24" s="21"/>
      <c r="J24" s="21"/>
      <c r="K24" s="21"/>
    </row>
    <row r="25" spans="1:11" ht="25.5" x14ac:dyDescent="0.2">
      <c r="A25" s="21" t="s">
        <v>24</v>
      </c>
      <c r="B25" s="19">
        <v>1400</v>
      </c>
      <c r="C25" s="19">
        <v>150</v>
      </c>
      <c r="D25" s="19" t="s">
        <v>11</v>
      </c>
      <c r="E25" s="232">
        <v>10000</v>
      </c>
      <c r="F25" s="19" t="s">
        <v>11</v>
      </c>
      <c r="G25" s="219"/>
      <c r="H25" s="19" t="s">
        <v>11</v>
      </c>
      <c r="I25" s="21"/>
      <c r="J25" s="19" t="s">
        <v>11</v>
      </c>
      <c r="K25" s="21"/>
    </row>
    <row r="26" spans="1:11" ht="21.75" customHeight="1" x14ac:dyDescent="0.2">
      <c r="A26" s="21" t="s">
        <v>530</v>
      </c>
      <c r="B26" s="145">
        <v>1410</v>
      </c>
      <c r="C26" s="145">
        <v>150</v>
      </c>
      <c r="D26" s="235">
        <v>16607825.359999999</v>
      </c>
      <c r="E26" s="20"/>
      <c r="F26" s="232">
        <v>15063026</v>
      </c>
      <c r="G26" s="20"/>
      <c r="H26" s="232">
        <v>15163144.99</v>
      </c>
      <c r="I26" s="20"/>
      <c r="J26" s="20"/>
      <c r="K26" s="20"/>
    </row>
    <row r="27" spans="1:11" ht="25.5" x14ac:dyDescent="0.2">
      <c r="A27" s="24" t="s">
        <v>27</v>
      </c>
      <c r="B27" s="145">
        <v>1420</v>
      </c>
      <c r="C27" s="145">
        <v>150</v>
      </c>
      <c r="D27" s="146"/>
      <c r="E27" s="154"/>
      <c r="F27" s="154"/>
      <c r="G27" s="154"/>
      <c r="H27" s="154"/>
      <c r="I27" s="154"/>
      <c r="J27" s="154"/>
      <c r="K27" s="154"/>
    </row>
    <row r="28" spans="1:11" ht="54.75" customHeight="1" x14ac:dyDescent="0.2">
      <c r="A28" s="24" t="s">
        <v>615</v>
      </c>
      <c r="B28" s="145">
        <v>1430</v>
      </c>
      <c r="C28" s="145"/>
      <c r="D28" s="146"/>
      <c r="E28" s="154">
        <v>10000</v>
      </c>
      <c r="F28" s="154"/>
      <c r="G28" s="154"/>
      <c r="H28" s="154"/>
      <c r="I28" s="154"/>
      <c r="J28" s="154"/>
      <c r="K28" s="154"/>
    </row>
    <row r="29" spans="1:11" x14ac:dyDescent="0.2">
      <c r="A29" s="356" t="s">
        <v>25</v>
      </c>
      <c r="B29" s="364">
        <v>1500</v>
      </c>
      <c r="C29" s="364">
        <v>180</v>
      </c>
      <c r="D29" s="366"/>
      <c r="E29" s="364" t="s">
        <v>11</v>
      </c>
      <c r="F29" s="366"/>
      <c r="G29" s="364" t="s">
        <v>11</v>
      </c>
      <c r="H29" s="366"/>
      <c r="I29" s="364" t="s">
        <v>11</v>
      </c>
      <c r="J29" s="368"/>
      <c r="K29" s="364" t="s">
        <v>11</v>
      </c>
    </row>
    <row r="30" spans="1:11" ht="15" customHeight="1" x14ac:dyDescent="0.2">
      <c r="A30" s="357"/>
      <c r="B30" s="365"/>
      <c r="C30" s="365"/>
      <c r="D30" s="367"/>
      <c r="E30" s="365"/>
      <c r="F30" s="367"/>
      <c r="G30" s="365"/>
      <c r="H30" s="367"/>
      <c r="I30" s="365"/>
      <c r="J30" s="369"/>
      <c r="K30" s="365"/>
    </row>
    <row r="31" spans="1:11" ht="19.5" customHeight="1" x14ac:dyDescent="0.2">
      <c r="A31" s="24" t="s">
        <v>14</v>
      </c>
      <c r="B31" s="152"/>
      <c r="C31" s="152"/>
      <c r="D31" s="158"/>
      <c r="E31" s="152"/>
      <c r="F31" s="158"/>
      <c r="G31" s="152"/>
      <c r="H31" s="158"/>
      <c r="I31" s="152"/>
      <c r="J31" s="153"/>
      <c r="K31" s="152"/>
    </row>
    <row r="32" spans="1:11" x14ac:dyDescent="0.2">
      <c r="A32" s="21" t="s">
        <v>28</v>
      </c>
      <c r="B32" s="19">
        <v>1900</v>
      </c>
      <c r="C32" s="21"/>
      <c r="D32" s="20"/>
      <c r="E32" s="20"/>
      <c r="F32" s="20"/>
      <c r="G32" s="20"/>
      <c r="H32" s="20"/>
      <c r="I32" s="20"/>
      <c r="J32" s="21"/>
      <c r="K32" s="20"/>
    </row>
    <row r="33" spans="1:12" x14ac:dyDescent="0.2">
      <c r="A33" s="21" t="s">
        <v>14</v>
      </c>
      <c r="B33" s="21"/>
      <c r="C33" s="21"/>
      <c r="D33" s="20"/>
      <c r="E33" s="20"/>
      <c r="F33" s="20"/>
      <c r="G33" s="20"/>
      <c r="H33" s="20"/>
      <c r="I33" s="20"/>
      <c r="J33" s="21"/>
      <c r="K33" s="20"/>
    </row>
    <row r="34" spans="1:12" x14ac:dyDescent="0.2">
      <c r="A34" s="25" t="s">
        <v>29</v>
      </c>
      <c r="B34" s="19">
        <v>1980</v>
      </c>
      <c r="C34" s="19" t="s">
        <v>11</v>
      </c>
      <c r="D34" s="20"/>
      <c r="E34" s="278"/>
      <c r="F34" s="20"/>
      <c r="G34" s="20"/>
      <c r="H34" s="20"/>
      <c r="I34" s="20"/>
      <c r="J34" s="21"/>
      <c r="K34" s="20"/>
    </row>
    <row r="35" spans="1:12" x14ac:dyDescent="0.2">
      <c r="A35" s="21" t="s">
        <v>30</v>
      </c>
      <c r="B35" s="358">
        <v>1981</v>
      </c>
      <c r="C35" s="358">
        <v>510</v>
      </c>
      <c r="D35" s="359"/>
      <c r="E35" s="359"/>
      <c r="F35" s="359"/>
      <c r="G35" s="359"/>
      <c r="H35" s="359"/>
      <c r="I35" s="359"/>
      <c r="J35" s="358" t="s">
        <v>11</v>
      </c>
      <c r="K35" s="359"/>
    </row>
    <row r="36" spans="1:12" ht="38.25" x14ac:dyDescent="0.2">
      <c r="A36" s="21" t="s">
        <v>31</v>
      </c>
      <c r="B36" s="358"/>
      <c r="C36" s="358"/>
      <c r="D36" s="359"/>
      <c r="E36" s="359"/>
      <c r="F36" s="359"/>
      <c r="G36" s="359"/>
      <c r="H36" s="359"/>
      <c r="I36" s="359"/>
      <c r="J36" s="358"/>
      <c r="K36" s="359"/>
    </row>
    <row r="37" spans="1:12" ht="34.5" customHeight="1" x14ac:dyDescent="0.2">
      <c r="A37" s="21" t="s">
        <v>32</v>
      </c>
      <c r="B37" s="19">
        <v>2000</v>
      </c>
      <c r="C37" s="19" t="s">
        <v>11</v>
      </c>
      <c r="D37" s="234">
        <f>D38+D53+D61+D66+D74+D76</f>
        <v>62490270.507712603</v>
      </c>
      <c r="E37" s="234">
        <f>E38+E53+E61+E66+E74+E76</f>
        <v>2671624.1729199998</v>
      </c>
      <c r="F37" s="233">
        <f>F38+F53+F61+F76</f>
        <v>60480550.998826407</v>
      </c>
      <c r="G37" s="290">
        <f>G38+G76</f>
        <v>2551864.6429199995</v>
      </c>
      <c r="H37" s="311">
        <f>H38+H76+H53+H61</f>
        <v>55839044.9911476</v>
      </c>
      <c r="I37" s="232">
        <f>I38+I76</f>
        <v>2055400.0029199999</v>
      </c>
      <c r="J37" s="21"/>
      <c r="K37" s="20"/>
      <c r="L37" s="27"/>
    </row>
    <row r="38" spans="1:12" ht="22.5" customHeight="1" x14ac:dyDescent="0.2">
      <c r="A38" s="21" t="s">
        <v>14</v>
      </c>
      <c r="B38" s="358">
        <v>2100</v>
      </c>
      <c r="C38" s="358" t="s">
        <v>11</v>
      </c>
      <c r="D38" s="363">
        <f>D40+D42+D43+D44</f>
        <v>38737997.157712609</v>
      </c>
      <c r="E38" s="363">
        <f>E40+E42+E43+E44</f>
        <v>1083599.2129199998</v>
      </c>
      <c r="F38" s="363">
        <f>F40+F42+F44</f>
        <v>38273077.008826405</v>
      </c>
      <c r="G38" s="363">
        <f>G40+G44</f>
        <v>1083599.2129199998</v>
      </c>
      <c r="H38" s="363">
        <f>H40+H42+H44</f>
        <v>33713887.121147603</v>
      </c>
      <c r="I38" s="363">
        <f>I40+I44</f>
        <v>1083599.2129199998</v>
      </c>
      <c r="J38" s="358" t="s">
        <v>11</v>
      </c>
      <c r="K38" s="359"/>
    </row>
    <row r="39" spans="1:12" x14ac:dyDescent="0.2">
      <c r="A39" s="21" t="s">
        <v>33</v>
      </c>
      <c r="B39" s="358"/>
      <c r="C39" s="358"/>
      <c r="D39" s="363"/>
      <c r="E39" s="363"/>
      <c r="F39" s="363"/>
      <c r="G39" s="363"/>
      <c r="H39" s="363"/>
      <c r="I39" s="363"/>
      <c r="J39" s="358"/>
      <c r="K39" s="359"/>
    </row>
    <row r="40" spans="1:12" ht="15" customHeight="1" x14ac:dyDescent="0.2">
      <c r="A40" s="21" t="s">
        <v>14</v>
      </c>
      <c r="B40" s="358">
        <v>2110</v>
      </c>
      <c r="C40" s="358">
        <v>111</v>
      </c>
      <c r="D40" s="363">
        <f>'3.6.1'!C12</f>
        <v>29749091.521300007</v>
      </c>
      <c r="E40" s="363">
        <f>'3.6.1'!C13</f>
        <v>832257.45999999985</v>
      </c>
      <c r="F40" s="363">
        <f>'3.6.1'!D12</f>
        <v>29392009.990800004</v>
      </c>
      <c r="G40" s="363">
        <f>'3.6.4 (2)'!D117</f>
        <v>832257.45999999985</v>
      </c>
      <c r="H40" s="363">
        <f>'3.6.1'!E12</f>
        <v>25890328.050800003</v>
      </c>
      <c r="I40" s="363">
        <f>'3.6.1'!E13</f>
        <v>832257.45999999985</v>
      </c>
      <c r="J40" s="358" t="s">
        <v>11</v>
      </c>
      <c r="K40" s="359"/>
    </row>
    <row r="41" spans="1:12" ht="15.75" customHeight="1" x14ac:dyDescent="0.2">
      <c r="A41" s="21" t="s">
        <v>34</v>
      </c>
      <c r="B41" s="358"/>
      <c r="C41" s="358"/>
      <c r="D41" s="363"/>
      <c r="E41" s="363"/>
      <c r="F41" s="363"/>
      <c r="G41" s="363"/>
      <c r="H41" s="363"/>
      <c r="I41" s="363"/>
      <c r="J41" s="358"/>
      <c r="K41" s="359"/>
    </row>
    <row r="42" spans="1:12" ht="25.5" x14ac:dyDescent="0.2">
      <c r="A42" s="21" t="s">
        <v>35</v>
      </c>
      <c r="B42" s="19">
        <v>2120</v>
      </c>
      <c r="C42" s="19">
        <v>112</v>
      </c>
      <c r="D42" s="233">
        <f>'3.8.2 (2)'!L9</f>
        <v>4680</v>
      </c>
      <c r="E42" s="34"/>
      <c r="F42" s="233">
        <f>'3.8.2 (2)'!M9</f>
        <v>4680</v>
      </c>
      <c r="G42" s="20"/>
      <c r="H42" s="233">
        <f>'3.8.2 (2)'!N9</f>
        <v>4680</v>
      </c>
      <c r="I42" s="20"/>
      <c r="J42" s="19" t="s">
        <v>11</v>
      </c>
      <c r="K42" s="20"/>
    </row>
    <row r="43" spans="1:12" ht="38.25" x14ac:dyDescent="0.2">
      <c r="A43" s="21" t="s">
        <v>36</v>
      </c>
      <c r="B43" s="19">
        <v>2130</v>
      </c>
      <c r="C43" s="19">
        <v>113</v>
      </c>
      <c r="D43" s="20"/>
      <c r="E43" s="20"/>
      <c r="F43" s="20"/>
      <c r="G43" s="20"/>
      <c r="H43" s="20"/>
      <c r="I43" s="20"/>
      <c r="J43" s="19" t="s">
        <v>11</v>
      </c>
      <c r="K43" s="20"/>
    </row>
    <row r="44" spans="1:12" ht="51" x14ac:dyDescent="0.2">
      <c r="A44" s="21" t="s">
        <v>37</v>
      </c>
      <c r="B44" s="19">
        <v>2140</v>
      </c>
      <c r="C44" s="19">
        <v>119</v>
      </c>
      <c r="D44" s="233">
        <f>D45</f>
        <v>8984225.6364126001</v>
      </c>
      <c r="E44" s="232">
        <f>'3.7.1 (2)'!C13</f>
        <v>251341.75291999994</v>
      </c>
      <c r="F44" s="233">
        <f>F45</f>
        <v>8876387.0180264004</v>
      </c>
      <c r="G44" s="232">
        <f>G45</f>
        <v>251341.75291999994</v>
      </c>
      <c r="H44" s="233">
        <f>H45</f>
        <v>7818879.0703476015</v>
      </c>
      <c r="I44" s="232">
        <f>I45</f>
        <v>251341.75291999994</v>
      </c>
      <c r="J44" s="19" t="s">
        <v>11</v>
      </c>
      <c r="K44" s="20"/>
    </row>
    <row r="45" spans="1:12" x14ac:dyDescent="0.2">
      <c r="A45" s="21" t="s">
        <v>14</v>
      </c>
      <c r="B45" s="358">
        <v>2141</v>
      </c>
      <c r="C45" s="358">
        <v>119</v>
      </c>
      <c r="D45" s="363">
        <f>'3.7.1 (2)'!C12</f>
        <v>8984225.6364126001</v>
      </c>
      <c r="E45" s="363">
        <f>'3.7.1 (2)'!C13</f>
        <v>251341.75291999994</v>
      </c>
      <c r="F45" s="363">
        <f>'3.7.2 (2)'!G22+'3.7.2 (2)'!G45+'3.7.2 (2)'!G67+'3.7.2 (2)'!G89+'3.7.2 (2)'!G111+'3.7.2 (2)'!G133+'3.7.2 (2)'!G177+'3.7.2 (2)'!G199+'3.7.2 (2)'!G200+0.01</f>
        <v>8876387.0180264004</v>
      </c>
      <c r="G45" s="363">
        <f>E45</f>
        <v>251341.75291999994</v>
      </c>
      <c r="H45" s="363">
        <f>'3.7.2 (2)'!H22+'3.7.2 (2)'!H45+'3.7.2 (2)'!H67+'3.7.2 (2)'!H89+'3.7.2 (2)'!H111+'3.7.2 (2)'!H133+'3.7.2 (2)'!H177+'3.7.2 (2)'!H199+'3.7.2 (2)'!H200</f>
        <v>7818879.0703476015</v>
      </c>
      <c r="I45" s="363">
        <f>'3.7.1 (2)'!E13</f>
        <v>251341.75291999994</v>
      </c>
      <c r="J45" s="358" t="s">
        <v>11</v>
      </c>
      <c r="K45" s="359"/>
    </row>
    <row r="46" spans="1:12" ht="23.25" customHeight="1" x14ac:dyDescent="0.2">
      <c r="A46" s="21" t="s">
        <v>38</v>
      </c>
      <c r="B46" s="358"/>
      <c r="C46" s="358"/>
      <c r="D46" s="363"/>
      <c r="E46" s="363"/>
      <c r="F46" s="363"/>
      <c r="G46" s="363"/>
      <c r="H46" s="363"/>
      <c r="I46" s="363"/>
      <c r="J46" s="358"/>
      <c r="K46" s="359"/>
    </row>
    <row r="47" spans="1:12" ht="21" customHeight="1" x14ac:dyDescent="0.2">
      <c r="A47" s="21" t="s">
        <v>39</v>
      </c>
      <c r="B47" s="19">
        <v>2142</v>
      </c>
      <c r="C47" s="19">
        <v>119</v>
      </c>
      <c r="D47" s="20"/>
      <c r="E47" s="20"/>
      <c r="F47" s="20"/>
      <c r="G47" s="20"/>
      <c r="H47" s="20"/>
      <c r="I47" s="20"/>
      <c r="J47" s="19" t="s">
        <v>11</v>
      </c>
      <c r="K47" s="20"/>
    </row>
    <row r="48" spans="1:12" ht="30.75" customHeight="1" x14ac:dyDescent="0.2">
      <c r="A48" s="21" t="s">
        <v>40</v>
      </c>
      <c r="B48" s="19">
        <v>2150</v>
      </c>
      <c r="C48" s="19">
        <v>131</v>
      </c>
      <c r="D48" s="20"/>
      <c r="E48" s="20"/>
      <c r="F48" s="20"/>
      <c r="G48" s="20"/>
      <c r="H48" s="20"/>
      <c r="I48" s="20"/>
      <c r="J48" s="19" t="s">
        <v>11</v>
      </c>
      <c r="K48" s="20"/>
    </row>
    <row r="49" spans="1:11" ht="53.25" customHeight="1" x14ac:dyDescent="0.2">
      <c r="A49" s="21" t="s">
        <v>531</v>
      </c>
      <c r="B49" s="19">
        <v>2160</v>
      </c>
      <c r="C49" s="19">
        <v>133</v>
      </c>
      <c r="D49" s="20"/>
      <c r="E49" s="20"/>
      <c r="F49" s="20"/>
      <c r="G49" s="20"/>
      <c r="H49" s="20"/>
      <c r="I49" s="20"/>
      <c r="J49" s="19" t="s">
        <v>11</v>
      </c>
      <c r="K49" s="20"/>
    </row>
    <row r="50" spans="1:11" ht="38.25" customHeight="1" x14ac:dyDescent="0.2">
      <c r="A50" s="21" t="s">
        <v>532</v>
      </c>
      <c r="B50" s="19">
        <v>2170</v>
      </c>
      <c r="C50" s="19">
        <v>134</v>
      </c>
      <c r="D50" s="20"/>
      <c r="E50" s="20"/>
      <c r="F50" s="20"/>
      <c r="G50" s="20"/>
      <c r="H50" s="20"/>
      <c r="I50" s="20"/>
      <c r="J50" s="19" t="s">
        <v>11</v>
      </c>
      <c r="K50" s="20"/>
    </row>
    <row r="51" spans="1:11" ht="54" customHeight="1" x14ac:dyDescent="0.2">
      <c r="A51" s="144" t="s">
        <v>41</v>
      </c>
      <c r="B51" s="142">
        <v>2180</v>
      </c>
      <c r="C51" s="142">
        <v>139</v>
      </c>
      <c r="D51" s="143"/>
      <c r="E51" s="143"/>
      <c r="F51" s="143"/>
      <c r="G51" s="143"/>
      <c r="H51" s="143"/>
      <c r="I51" s="143"/>
      <c r="J51" s="142"/>
      <c r="K51" s="143"/>
    </row>
    <row r="52" spans="1:11" ht="19.5" customHeight="1" x14ac:dyDescent="0.2">
      <c r="A52" s="144" t="s">
        <v>533</v>
      </c>
      <c r="B52" s="142">
        <v>2181</v>
      </c>
      <c r="C52" s="142">
        <v>139</v>
      </c>
      <c r="D52" s="143"/>
      <c r="E52" s="143"/>
      <c r="F52" s="143"/>
      <c r="G52" s="143"/>
      <c r="H52" s="143"/>
      <c r="I52" s="143"/>
      <c r="J52" s="142"/>
      <c r="K52" s="143"/>
    </row>
    <row r="53" spans="1:11" ht="25.5" x14ac:dyDescent="0.2">
      <c r="A53" s="21" t="s">
        <v>42</v>
      </c>
      <c r="B53" s="19">
        <v>2200</v>
      </c>
      <c r="C53" s="19">
        <v>300</v>
      </c>
      <c r="D53" s="233">
        <f>D60</f>
        <v>42470</v>
      </c>
      <c r="E53" s="34">
        <f>E54+E59</f>
        <v>0</v>
      </c>
      <c r="F53" s="233">
        <f>F60</f>
        <v>42470</v>
      </c>
      <c r="G53" s="34">
        <v>0</v>
      </c>
      <c r="H53" s="233">
        <f>H60</f>
        <v>42470</v>
      </c>
      <c r="I53" s="34">
        <v>0</v>
      </c>
      <c r="J53" s="19" t="s">
        <v>11</v>
      </c>
      <c r="K53" s="20"/>
    </row>
    <row r="54" spans="1:11" x14ac:dyDescent="0.2">
      <c r="A54" s="21" t="s">
        <v>14</v>
      </c>
      <c r="B54" s="358">
        <v>2210</v>
      </c>
      <c r="C54" s="358">
        <v>320</v>
      </c>
      <c r="D54" s="363"/>
      <c r="E54" s="370">
        <f>E56</f>
        <v>0</v>
      </c>
      <c r="F54" s="363"/>
      <c r="G54" s="370">
        <v>0</v>
      </c>
      <c r="H54" s="363"/>
      <c r="I54" s="370">
        <v>0</v>
      </c>
      <c r="J54" s="358" t="s">
        <v>11</v>
      </c>
      <c r="K54" s="359"/>
    </row>
    <row r="55" spans="1:11" ht="37.5" customHeight="1" x14ac:dyDescent="0.2">
      <c r="A55" s="21" t="s">
        <v>43</v>
      </c>
      <c r="B55" s="358"/>
      <c r="C55" s="358"/>
      <c r="D55" s="363"/>
      <c r="E55" s="370"/>
      <c r="F55" s="363"/>
      <c r="G55" s="370"/>
      <c r="H55" s="363"/>
      <c r="I55" s="370"/>
      <c r="J55" s="358"/>
      <c r="K55" s="359"/>
    </row>
    <row r="56" spans="1:11" ht="18" customHeight="1" x14ac:dyDescent="0.2">
      <c r="A56" s="21" t="s">
        <v>30</v>
      </c>
      <c r="B56" s="358">
        <v>2211</v>
      </c>
      <c r="C56" s="358">
        <v>321</v>
      </c>
      <c r="D56" s="363"/>
      <c r="E56" s="370">
        <v>0</v>
      </c>
      <c r="F56" s="363"/>
      <c r="G56" s="370">
        <v>0</v>
      </c>
      <c r="H56" s="363"/>
      <c r="I56" s="370">
        <v>0</v>
      </c>
      <c r="J56" s="358" t="s">
        <v>11</v>
      </c>
      <c r="K56" s="359"/>
    </row>
    <row r="57" spans="1:11" ht="37.5" customHeight="1" x14ac:dyDescent="0.2">
      <c r="A57" s="21" t="s">
        <v>44</v>
      </c>
      <c r="B57" s="358"/>
      <c r="C57" s="358"/>
      <c r="D57" s="363"/>
      <c r="E57" s="370"/>
      <c r="F57" s="363"/>
      <c r="G57" s="370"/>
      <c r="H57" s="363"/>
      <c r="I57" s="370"/>
      <c r="J57" s="358"/>
      <c r="K57" s="359"/>
    </row>
    <row r="58" spans="1:11" ht="51" hidden="1" x14ac:dyDescent="0.2">
      <c r="A58" s="21" t="s">
        <v>45</v>
      </c>
      <c r="B58" s="19">
        <v>2220</v>
      </c>
      <c r="C58" s="19">
        <v>340</v>
      </c>
      <c r="D58" s="20"/>
      <c r="E58" s="20"/>
      <c r="F58" s="20"/>
      <c r="G58" s="20"/>
      <c r="H58" s="20"/>
      <c r="I58" s="20"/>
      <c r="J58" s="19" t="s">
        <v>11</v>
      </c>
      <c r="K58" s="20"/>
    </row>
    <row r="59" spans="1:11" ht="75.75" customHeight="1" x14ac:dyDescent="0.2">
      <c r="A59" s="21" t="s">
        <v>46</v>
      </c>
      <c r="B59" s="19">
        <v>2230</v>
      </c>
      <c r="C59" s="19">
        <v>350</v>
      </c>
      <c r="D59" s="20"/>
      <c r="E59" s="20"/>
      <c r="F59" s="20"/>
      <c r="G59" s="20"/>
      <c r="H59" s="20"/>
      <c r="I59" s="20"/>
      <c r="J59" s="19" t="s">
        <v>11</v>
      </c>
      <c r="K59" s="20"/>
    </row>
    <row r="60" spans="1:11" ht="31.5" customHeight="1" x14ac:dyDescent="0.2">
      <c r="A60" s="21" t="s">
        <v>534</v>
      </c>
      <c r="B60" s="19">
        <v>2240</v>
      </c>
      <c r="C60" s="19">
        <v>360</v>
      </c>
      <c r="D60" s="20">
        <v>42470</v>
      </c>
      <c r="E60" s="20"/>
      <c r="F60" s="20">
        <v>42470</v>
      </c>
      <c r="G60" s="20"/>
      <c r="H60" s="20">
        <v>42470</v>
      </c>
      <c r="I60" s="20"/>
      <c r="J60" s="19" t="s">
        <v>11</v>
      </c>
      <c r="K60" s="20"/>
    </row>
    <row r="61" spans="1:11" ht="25.5" x14ac:dyDescent="0.2">
      <c r="A61" s="21" t="s">
        <v>47</v>
      </c>
      <c r="B61" s="19">
        <v>2300</v>
      </c>
      <c r="C61" s="19">
        <v>850</v>
      </c>
      <c r="D61" s="233">
        <f>D64</f>
        <v>10000</v>
      </c>
      <c r="E61" s="232">
        <v>0</v>
      </c>
      <c r="F61" s="233">
        <f>F64</f>
        <v>10000</v>
      </c>
      <c r="G61" s="232">
        <v>0</v>
      </c>
      <c r="H61" s="233">
        <f>H64</f>
        <v>10000</v>
      </c>
      <c r="I61" s="232">
        <v>0</v>
      </c>
      <c r="J61" s="19" t="s">
        <v>11</v>
      </c>
      <c r="K61" s="20"/>
    </row>
    <row r="62" spans="1:11" x14ac:dyDescent="0.2">
      <c r="A62" s="21" t="s">
        <v>30</v>
      </c>
      <c r="B62" s="358">
        <v>2310</v>
      </c>
      <c r="C62" s="358">
        <v>851</v>
      </c>
      <c r="D62" s="363"/>
      <c r="E62" s="363"/>
      <c r="F62" s="363"/>
      <c r="G62" s="363"/>
      <c r="H62" s="363"/>
      <c r="I62" s="363"/>
      <c r="J62" s="358" t="s">
        <v>11</v>
      </c>
      <c r="K62" s="359"/>
    </row>
    <row r="63" spans="1:11" ht="25.5" x14ac:dyDescent="0.2">
      <c r="A63" s="21" t="s">
        <v>48</v>
      </c>
      <c r="B63" s="358"/>
      <c r="C63" s="358"/>
      <c r="D63" s="363"/>
      <c r="E63" s="363"/>
      <c r="F63" s="363"/>
      <c r="G63" s="363"/>
      <c r="H63" s="363"/>
      <c r="I63" s="363"/>
      <c r="J63" s="358"/>
      <c r="K63" s="359"/>
    </row>
    <row r="64" spans="1:11" ht="51" x14ac:dyDescent="0.2">
      <c r="A64" s="21" t="s">
        <v>49</v>
      </c>
      <c r="B64" s="19">
        <v>2320</v>
      </c>
      <c r="C64" s="19">
        <v>852</v>
      </c>
      <c r="D64" s="233">
        <f>'3.10 (2)'!I8</f>
        <v>10000</v>
      </c>
      <c r="E64" s="232">
        <v>0</v>
      </c>
      <c r="F64" s="233">
        <f>'3.10 (2)'!J8</f>
        <v>10000</v>
      </c>
      <c r="G64" s="232">
        <v>0</v>
      </c>
      <c r="H64" s="233">
        <v>10000</v>
      </c>
      <c r="I64" s="233">
        <v>0</v>
      </c>
      <c r="J64" s="19" t="s">
        <v>11</v>
      </c>
      <c r="K64" s="20"/>
    </row>
    <row r="65" spans="1:11" ht="25.5" x14ac:dyDescent="0.2">
      <c r="A65" s="21" t="s">
        <v>50</v>
      </c>
      <c r="B65" s="19">
        <v>2330</v>
      </c>
      <c r="C65" s="19">
        <v>853</v>
      </c>
      <c r="D65" s="20"/>
      <c r="E65" s="20"/>
      <c r="F65" s="20"/>
      <c r="G65" s="20"/>
      <c r="H65" s="20"/>
      <c r="I65" s="20"/>
      <c r="J65" s="19" t="s">
        <v>11</v>
      </c>
      <c r="K65" s="20"/>
    </row>
    <row r="66" spans="1:11" ht="25.5" x14ac:dyDescent="0.2">
      <c r="A66" s="21" t="s">
        <v>51</v>
      </c>
      <c r="B66" s="19">
        <v>2400</v>
      </c>
      <c r="C66" s="19" t="s">
        <v>11</v>
      </c>
      <c r="D66" s="20"/>
      <c r="E66" s="20"/>
      <c r="F66" s="20"/>
      <c r="G66" s="20"/>
      <c r="H66" s="20"/>
      <c r="I66" s="20"/>
      <c r="J66" s="19" t="s">
        <v>11</v>
      </c>
      <c r="K66" s="20"/>
    </row>
    <row r="67" spans="1:11" x14ac:dyDescent="0.2">
      <c r="A67" s="21" t="s">
        <v>30</v>
      </c>
      <c r="B67" s="358">
        <v>2410</v>
      </c>
      <c r="C67" s="358">
        <v>613</v>
      </c>
      <c r="D67" s="359"/>
      <c r="E67" s="359"/>
      <c r="F67" s="359"/>
      <c r="G67" s="359"/>
      <c r="H67" s="359"/>
      <c r="I67" s="359"/>
      <c r="J67" s="358" t="s">
        <v>11</v>
      </c>
      <c r="K67" s="359"/>
    </row>
    <row r="68" spans="1:11" ht="25.5" x14ac:dyDescent="0.2">
      <c r="A68" s="21" t="s">
        <v>535</v>
      </c>
      <c r="B68" s="358"/>
      <c r="C68" s="358"/>
      <c r="D68" s="359"/>
      <c r="E68" s="359"/>
      <c r="F68" s="359"/>
      <c r="G68" s="359"/>
      <c r="H68" s="359"/>
      <c r="I68" s="359"/>
      <c r="J68" s="358"/>
      <c r="K68" s="359"/>
    </row>
    <row r="69" spans="1:11" ht="30.75" customHeight="1" x14ac:dyDescent="0.2">
      <c r="A69" s="21" t="s">
        <v>536</v>
      </c>
      <c r="B69" s="19">
        <v>2420</v>
      </c>
      <c r="C69" s="19">
        <v>623</v>
      </c>
      <c r="D69" s="20"/>
      <c r="E69" s="20"/>
      <c r="F69" s="20"/>
      <c r="G69" s="20"/>
      <c r="H69" s="20"/>
      <c r="I69" s="20"/>
      <c r="J69" s="19" t="s">
        <v>11</v>
      </c>
      <c r="K69" s="20"/>
    </row>
    <row r="70" spans="1:11" ht="54" customHeight="1" x14ac:dyDescent="0.2">
      <c r="A70" s="21" t="s">
        <v>537</v>
      </c>
      <c r="B70" s="19">
        <v>2430</v>
      </c>
      <c r="C70" s="19">
        <v>634</v>
      </c>
      <c r="D70" s="20"/>
      <c r="E70" s="20"/>
      <c r="F70" s="20"/>
      <c r="G70" s="20"/>
      <c r="H70" s="20"/>
      <c r="I70" s="20"/>
      <c r="J70" s="19" t="s">
        <v>11</v>
      </c>
      <c r="K70" s="20"/>
    </row>
    <row r="71" spans="1:11" ht="36.75" customHeight="1" x14ac:dyDescent="0.2">
      <c r="A71" s="144" t="s">
        <v>538</v>
      </c>
      <c r="B71" s="142">
        <v>2440</v>
      </c>
      <c r="C71" s="142">
        <v>810</v>
      </c>
      <c r="D71" s="143"/>
      <c r="E71" s="143"/>
      <c r="F71" s="143"/>
      <c r="G71" s="143"/>
      <c r="H71" s="143"/>
      <c r="I71" s="143"/>
      <c r="J71" s="142"/>
      <c r="K71" s="143"/>
    </row>
    <row r="72" spans="1:11" ht="36.75" customHeight="1" x14ac:dyDescent="0.2">
      <c r="A72" s="144" t="s">
        <v>52</v>
      </c>
      <c r="B72" s="142">
        <v>2450</v>
      </c>
      <c r="C72" s="142">
        <v>862</v>
      </c>
      <c r="D72" s="143"/>
      <c r="E72" s="143"/>
      <c r="F72" s="143"/>
      <c r="G72" s="143"/>
      <c r="H72" s="143"/>
      <c r="I72" s="143"/>
      <c r="J72" s="142"/>
      <c r="K72" s="143"/>
    </row>
    <row r="73" spans="1:11" ht="54.75" customHeight="1" x14ac:dyDescent="0.2">
      <c r="A73" s="144" t="s">
        <v>539</v>
      </c>
      <c r="B73" s="142">
        <v>2460</v>
      </c>
      <c r="C73" s="142">
        <v>863</v>
      </c>
      <c r="D73" s="143"/>
      <c r="E73" s="143"/>
      <c r="F73" s="143"/>
      <c r="G73" s="143"/>
      <c r="H73" s="143"/>
      <c r="I73" s="143"/>
      <c r="J73" s="142"/>
      <c r="K73" s="143"/>
    </row>
    <row r="74" spans="1:11" ht="25.5" x14ac:dyDescent="0.2">
      <c r="A74" s="21" t="s">
        <v>53</v>
      </c>
      <c r="B74" s="19">
        <v>2500</v>
      </c>
      <c r="C74" s="19" t="s">
        <v>11</v>
      </c>
      <c r="D74" s="34"/>
      <c r="E74" s="34"/>
      <c r="F74" s="34"/>
      <c r="G74" s="34"/>
      <c r="H74" s="34"/>
      <c r="I74" s="34"/>
      <c r="J74" s="19" t="s">
        <v>11</v>
      </c>
      <c r="K74" s="20"/>
    </row>
    <row r="75" spans="1:11" ht="51" x14ac:dyDescent="0.2">
      <c r="A75" s="21" t="s">
        <v>54</v>
      </c>
      <c r="B75" s="19">
        <v>2520</v>
      </c>
      <c r="C75" s="19">
        <v>831</v>
      </c>
      <c r="D75" s="20"/>
      <c r="E75" s="20"/>
      <c r="F75" s="20"/>
      <c r="G75" s="20"/>
      <c r="H75" s="20"/>
      <c r="I75" s="20"/>
      <c r="J75" s="19" t="s">
        <v>11</v>
      </c>
      <c r="K75" s="20"/>
    </row>
    <row r="76" spans="1:11" ht="25.5" x14ac:dyDescent="0.2">
      <c r="A76" s="25" t="s">
        <v>55</v>
      </c>
      <c r="B76" s="19">
        <v>2600</v>
      </c>
      <c r="C76" s="19" t="s">
        <v>11</v>
      </c>
      <c r="D76" s="233">
        <f>D77+D79+D80+D81</f>
        <v>23699803.349999998</v>
      </c>
      <c r="E76" s="232">
        <f>E77+E79+E80</f>
        <v>1588024.9599999997</v>
      </c>
      <c r="F76" s="233">
        <f>F80+F81</f>
        <v>22155003.990000002</v>
      </c>
      <c r="G76" s="232">
        <f>G80</f>
        <v>1468265.43</v>
      </c>
      <c r="H76" s="233">
        <f>H80+H81</f>
        <v>22072687.869999997</v>
      </c>
      <c r="I76" s="232">
        <f>I80</f>
        <v>971800.79</v>
      </c>
      <c r="J76" s="21"/>
      <c r="K76" s="20"/>
    </row>
    <row r="77" spans="1:11" x14ac:dyDescent="0.2">
      <c r="A77" s="21" t="s">
        <v>14</v>
      </c>
      <c r="B77" s="358">
        <v>2610</v>
      </c>
      <c r="C77" s="358">
        <v>241</v>
      </c>
      <c r="D77" s="359"/>
      <c r="E77" s="359"/>
      <c r="F77" s="359"/>
      <c r="G77" s="359"/>
      <c r="H77" s="359"/>
      <c r="I77" s="359"/>
      <c r="J77" s="371"/>
      <c r="K77" s="359"/>
    </row>
    <row r="78" spans="1:11" ht="25.5" x14ac:dyDescent="0.2">
      <c r="A78" s="21" t="s">
        <v>56</v>
      </c>
      <c r="B78" s="358"/>
      <c r="C78" s="358"/>
      <c r="D78" s="359"/>
      <c r="E78" s="359"/>
      <c r="F78" s="359"/>
      <c r="G78" s="359"/>
      <c r="H78" s="359"/>
      <c r="I78" s="359"/>
      <c r="J78" s="371"/>
      <c r="K78" s="359"/>
    </row>
    <row r="79" spans="1:11" ht="38.25" x14ac:dyDescent="0.2">
      <c r="A79" s="21" t="s">
        <v>57</v>
      </c>
      <c r="B79" s="19">
        <v>2630</v>
      </c>
      <c r="C79" s="19">
        <v>243</v>
      </c>
      <c r="D79" s="20"/>
      <c r="E79" s="20"/>
      <c r="F79" s="20"/>
      <c r="G79" s="20"/>
      <c r="H79" s="20"/>
      <c r="I79" s="20"/>
      <c r="J79" s="21"/>
      <c r="K79" s="20"/>
    </row>
    <row r="80" spans="1:11" ht="25.5" x14ac:dyDescent="0.2">
      <c r="A80" s="21" t="s">
        <v>58</v>
      </c>
      <c r="B80" s="19">
        <v>2640</v>
      </c>
      <c r="C80" s="19">
        <v>244</v>
      </c>
      <c r="D80" s="318">
        <f>'3.13.1'!D13+'3.13.1'!E13+'3.13.1'!F13+'3.13.1'!G13+'3.13.1'!H13+'3.13.1'!I13+'3.13.1'!K13+'3.13.1'!L13+'3.13.1'!M13+'3.13.1'!O13+'3.13.1'!R13+'3.13.1'!T13+'3.13.1'!U13+'3.13.1'!V13+'3.13.1'!W13+'3.13.1'!X13+'3.13.1'!Y13+'3.13.1'!AA13+'3.13.1'!AB13-4467465</f>
        <v>19232338.349999998</v>
      </c>
      <c r="E80" s="318">
        <f>'3.13.1'!J13+'3.13.1'!N13+'3.13.1'!P13+'3.13.1'!Q13+'3.13.1'!S13+'3.13.1'!Z13</f>
        <v>1588024.9599999997</v>
      </c>
      <c r="F80" s="318">
        <f>'3.13.1'!D68+'3.13.1'!E68+'3.13.1'!F68+'3.13.1'!G68+'3.13.1'!H68+'3.13.1'!I68+'3.13.1'!J68+'3.13.1'!K68+'3.13.1'!L68+'3.13.1'!M68+'3.13.1'!N68+'3.13.1'!O68+'3.13.1'!P68+'3.13.1'!Q68+'3.13.1'!T68+'3.13.1'!U68+'3.13.1'!V68+'3.13.1'!W68-4467465</f>
        <v>17687539</v>
      </c>
      <c r="G80" s="318">
        <f>'3.13.1'!R68+'3.13.1'!S68</f>
        <v>1468265.43</v>
      </c>
      <c r="H80" s="318">
        <f>'3.13.1'!D121+'3.13.1'!E121+'3.13.1'!F121+'3.13.1'!G121+'3.13.1'!H121+'3.13.1'!I121+'3.13.1'!J121+'3.13.1'!K121+'3.13.1'!L121+'3.13.1'!M121+'3.13.1'!O121+'3.13.1'!P121+'3.13.1'!Q121+'3.13.1'!S121+'3.13.1'!T121+'3.13.1'!U121+'3.13.1'!V121+'3.13.1'!W121-4285130</f>
        <v>17787557.869999997</v>
      </c>
      <c r="I80" s="318">
        <f>'3.13.1'!N121+'3.13.1'!R121</f>
        <v>971800.79</v>
      </c>
      <c r="J80" s="21"/>
      <c r="K80" s="20"/>
    </row>
    <row r="81" spans="1:11" ht="22.5" customHeight="1" x14ac:dyDescent="0.2">
      <c r="A81" s="224" t="s">
        <v>570</v>
      </c>
      <c r="B81" s="222">
        <v>2641</v>
      </c>
      <c r="C81" s="222">
        <v>247</v>
      </c>
      <c r="D81" s="318">
        <v>4467465</v>
      </c>
      <c r="E81" s="318"/>
      <c r="F81" s="318">
        <f>4467465-0.01</f>
        <v>4467464.99</v>
      </c>
      <c r="G81" s="318"/>
      <c r="H81" s="318">
        <v>4285130</v>
      </c>
      <c r="I81" s="318"/>
      <c r="J81" s="224"/>
      <c r="K81" s="223"/>
    </row>
    <row r="82" spans="1:11" x14ac:dyDescent="0.2">
      <c r="A82" s="21" t="s">
        <v>30</v>
      </c>
      <c r="B82" s="21"/>
      <c r="C82" s="21"/>
      <c r="D82" s="20"/>
      <c r="E82" s="20"/>
      <c r="F82" s="20"/>
      <c r="G82" s="20"/>
      <c r="H82" s="20"/>
      <c r="I82" s="20"/>
      <c r="J82" s="21"/>
      <c r="K82" s="20"/>
    </row>
    <row r="83" spans="1:11" ht="25.5" x14ac:dyDescent="0.2">
      <c r="A83" s="21" t="s">
        <v>59</v>
      </c>
      <c r="B83" s="19">
        <v>2650</v>
      </c>
      <c r="C83" s="19">
        <v>400</v>
      </c>
      <c r="D83" s="20"/>
      <c r="E83" s="20"/>
      <c r="F83" s="20"/>
      <c r="G83" s="20"/>
      <c r="H83" s="20"/>
      <c r="I83" s="20"/>
      <c r="J83" s="21"/>
      <c r="K83" s="20"/>
    </row>
    <row r="84" spans="1:11" x14ac:dyDescent="0.2">
      <c r="A84" s="21" t="s">
        <v>14</v>
      </c>
      <c r="B84" s="358">
        <v>2651</v>
      </c>
      <c r="C84" s="358">
        <v>406</v>
      </c>
      <c r="D84" s="359"/>
      <c r="E84" s="359"/>
      <c r="F84" s="359"/>
      <c r="G84" s="359"/>
      <c r="H84" s="359"/>
      <c r="I84" s="359"/>
      <c r="J84" s="371"/>
      <c r="K84" s="359"/>
    </row>
    <row r="85" spans="1:11" ht="38.25" x14ac:dyDescent="0.2">
      <c r="A85" s="21" t="s">
        <v>60</v>
      </c>
      <c r="B85" s="358"/>
      <c r="C85" s="358"/>
      <c r="D85" s="359"/>
      <c r="E85" s="359"/>
      <c r="F85" s="359"/>
      <c r="G85" s="359"/>
      <c r="H85" s="359"/>
      <c r="I85" s="359"/>
      <c r="J85" s="371"/>
      <c r="K85" s="359"/>
    </row>
    <row r="86" spans="1:11" ht="38.25" x14ac:dyDescent="0.2">
      <c r="A86" s="21" t="s">
        <v>61</v>
      </c>
      <c r="B86" s="19">
        <v>2652</v>
      </c>
      <c r="C86" s="19">
        <v>407</v>
      </c>
      <c r="D86" s="20"/>
      <c r="E86" s="20"/>
      <c r="F86" s="20"/>
      <c r="G86" s="20"/>
      <c r="H86" s="20"/>
      <c r="I86" s="20"/>
      <c r="J86" s="21"/>
      <c r="K86" s="20"/>
    </row>
    <row r="87" spans="1:11" x14ac:dyDescent="0.2">
      <c r="A87" s="25" t="s">
        <v>62</v>
      </c>
      <c r="B87" s="19">
        <v>3000</v>
      </c>
      <c r="C87" s="19">
        <v>100</v>
      </c>
      <c r="D87" s="20"/>
      <c r="E87" s="20"/>
      <c r="F87" s="20"/>
      <c r="G87" s="20"/>
      <c r="H87" s="20"/>
      <c r="I87" s="20"/>
      <c r="J87" s="19" t="s">
        <v>11</v>
      </c>
      <c r="K87" s="20"/>
    </row>
    <row r="88" spans="1:11" x14ac:dyDescent="0.2">
      <c r="A88" s="21" t="s">
        <v>14</v>
      </c>
      <c r="B88" s="358">
        <v>3010</v>
      </c>
      <c r="C88" s="371"/>
      <c r="D88" s="359"/>
      <c r="E88" s="359"/>
      <c r="F88" s="359"/>
      <c r="G88" s="359"/>
      <c r="H88" s="359"/>
      <c r="I88" s="359"/>
      <c r="J88" s="358" t="s">
        <v>11</v>
      </c>
      <c r="K88" s="359"/>
    </row>
    <row r="89" spans="1:11" x14ac:dyDescent="0.2">
      <c r="A89" s="25" t="s">
        <v>63</v>
      </c>
      <c r="B89" s="358"/>
      <c r="C89" s="371"/>
      <c r="D89" s="359"/>
      <c r="E89" s="359"/>
      <c r="F89" s="359"/>
      <c r="G89" s="359"/>
      <c r="H89" s="359"/>
      <c r="I89" s="359"/>
      <c r="J89" s="358"/>
      <c r="K89" s="359"/>
    </row>
    <row r="90" spans="1:11" x14ac:dyDescent="0.2">
      <c r="A90" s="25" t="s">
        <v>64</v>
      </c>
      <c r="B90" s="19">
        <v>3020</v>
      </c>
      <c r="C90" s="21"/>
      <c r="D90" s="20"/>
      <c r="E90" s="20"/>
      <c r="F90" s="20"/>
      <c r="G90" s="20"/>
      <c r="H90" s="20"/>
      <c r="I90" s="20"/>
      <c r="J90" s="19" t="s">
        <v>11</v>
      </c>
      <c r="K90" s="20"/>
    </row>
    <row r="91" spans="1:11" x14ac:dyDescent="0.2">
      <c r="A91" s="25" t="s">
        <v>65</v>
      </c>
      <c r="B91" s="19">
        <v>3030</v>
      </c>
      <c r="C91" s="21"/>
      <c r="D91" s="20"/>
      <c r="E91" s="20"/>
      <c r="F91" s="20"/>
      <c r="G91" s="20"/>
      <c r="H91" s="20"/>
      <c r="I91" s="20"/>
      <c r="J91" s="19" t="s">
        <v>11</v>
      </c>
      <c r="K91" s="20"/>
    </row>
    <row r="92" spans="1:11" x14ac:dyDescent="0.2">
      <c r="A92" s="25" t="s">
        <v>66</v>
      </c>
      <c r="B92" s="19">
        <v>4000</v>
      </c>
      <c r="C92" s="19" t="s">
        <v>11</v>
      </c>
      <c r="D92" s="20"/>
      <c r="E92" s="20"/>
      <c r="F92" s="20"/>
      <c r="G92" s="20"/>
      <c r="H92" s="20"/>
      <c r="I92" s="20"/>
      <c r="J92" s="19" t="s">
        <v>11</v>
      </c>
      <c r="K92" s="20"/>
    </row>
    <row r="93" spans="1:11" x14ac:dyDescent="0.2">
      <c r="A93" s="21" t="s">
        <v>30</v>
      </c>
      <c r="B93" s="358">
        <v>4010</v>
      </c>
      <c r="C93" s="358">
        <v>610</v>
      </c>
      <c r="D93" s="359"/>
      <c r="E93" s="359"/>
      <c r="F93" s="359"/>
      <c r="G93" s="359"/>
      <c r="H93" s="359"/>
      <c r="I93" s="359"/>
      <c r="J93" s="358" t="s">
        <v>11</v>
      </c>
      <c r="K93" s="359"/>
    </row>
    <row r="94" spans="1:11" x14ac:dyDescent="0.2">
      <c r="A94" s="21" t="s">
        <v>67</v>
      </c>
      <c r="B94" s="358"/>
      <c r="C94" s="358"/>
      <c r="D94" s="359"/>
      <c r="E94" s="359"/>
      <c r="F94" s="359"/>
      <c r="G94" s="359"/>
      <c r="H94" s="359"/>
      <c r="I94" s="359"/>
      <c r="J94" s="358"/>
      <c r="K94" s="359"/>
    </row>
    <row r="95" spans="1:11" x14ac:dyDescent="0.2">
      <c r="D95" s="27"/>
      <c r="E95" s="27"/>
    </row>
  </sheetData>
  <mergeCells count="163">
    <mergeCell ref="J93:J94"/>
    <mergeCell ref="K93:K94"/>
    <mergeCell ref="J88:J89"/>
    <mergeCell ref="K88:K89"/>
    <mergeCell ref="J84:J85"/>
    <mergeCell ref="K84:K85"/>
    <mergeCell ref="K67:K68"/>
    <mergeCell ref="K77:K78"/>
    <mergeCell ref="J77:J78"/>
    <mergeCell ref="A1:D1"/>
    <mergeCell ref="B29:B30"/>
    <mergeCell ref="C29:C30"/>
    <mergeCell ref="D29:D30"/>
    <mergeCell ref="F93:F94"/>
    <mergeCell ref="G93:G94"/>
    <mergeCell ref="H93:H94"/>
    <mergeCell ref="G67:G68"/>
    <mergeCell ref="H67:H68"/>
    <mergeCell ref="H54:H55"/>
    <mergeCell ref="H45:H46"/>
    <mergeCell ref="H40:H41"/>
    <mergeCell ref="H38:H39"/>
    <mergeCell ref="H35:H36"/>
    <mergeCell ref="H18:H19"/>
    <mergeCell ref="H11:H12"/>
    <mergeCell ref="A2:A5"/>
    <mergeCell ref="B56:B57"/>
    <mergeCell ref="C56:C57"/>
    <mergeCell ref="D56:D57"/>
    <mergeCell ref="E56:E57"/>
    <mergeCell ref="F56:F57"/>
    <mergeCell ref="G56:G57"/>
    <mergeCell ref="B84:B85"/>
    <mergeCell ref="C84:C85"/>
    <mergeCell ref="D84:D85"/>
    <mergeCell ref="E84:E85"/>
    <mergeCell ref="F84:F85"/>
    <mergeCell ref="G84:G85"/>
    <mergeCell ref="H84:H85"/>
    <mergeCell ref="I84:I85"/>
    <mergeCell ref="B77:B78"/>
    <mergeCell ref="I77:I78"/>
    <mergeCell ref="C77:C78"/>
    <mergeCell ref="D77:D78"/>
    <mergeCell ref="E77:E78"/>
    <mergeCell ref="F77:F78"/>
    <mergeCell ref="G77:G78"/>
    <mergeCell ref="H77:H78"/>
    <mergeCell ref="I93:I94"/>
    <mergeCell ref="B93:B94"/>
    <mergeCell ref="C93:C94"/>
    <mergeCell ref="D93:D94"/>
    <mergeCell ref="E93:E94"/>
    <mergeCell ref="F88:F89"/>
    <mergeCell ref="G88:G89"/>
    <mergeCell ref="H88:H89"/>
    <mergeCell ref="I88:I89"/>
    <mergeCell ref="B88:B89"/>
    <mergeCell ref="C88:C89"/>
    <mergeCell ref="D88:D89"/>
    <mergeCell ref="E88:E89"/>
    <mergeCell ref="J62:J63"/>
    <mergeCell ref="K62:K63"/>
    <mergeCell ref="I67:I68"/>
    <mergeCell ref="I62:I63"/>
    <mergeCell ref="F67:F68"/>
    <mergeCell ref="H56:H57"/>
    <mergeCell ref="I56:I57"/>
    <mergeCell ref="J67:J68"/>
    <mergeCell ref="K56:K57"/>
    <mergeCell ref="H62:H63"/>
    <mergeCell ref="J56:J57"/>
    <mergeCell ref="B62:B63"/>
    <mergeCell ref="C62:C63"/>
    <mergeCell ref="D62:D63"/>
    <mergeCell ref="E62:E63"/>
    <mergeCell ref="F62:F63"/>
    <mergeCell ref="G62:G63"/>
    <mergeCell ref="B67:B68"/>
    <mergeCell ref="C67:C68"/>
    <mergeCell ref="D67:D68"/>
    <mergeCell ref="E67:E68"/>
    <mergeCell ref="B54:B55"/>
    <mergeCell ref="C54:C55"/>
    <mergeCell ref="D54:D55"/>
    <mergeCell ref="E54:E55"/>
    <mergeCell ref="F54:F55"/>
    <mergeCell ref="G54:G55"/>
    <mergeCell ref="I54:I55"/>
    <mergeCell ref="J54:J55"/>
    <mergeCell ref="K54:K55"/>
    <mergeCell ref="K40:K41"/>
    <mergeCell ref="B45:B46"/>
    <mergeCell ref="C45:C46"/>
    <mergeCell ref="D45:D46"/>
    <mergeCell ref="E45:E46"/>
    <mergeCell ref="F45:F46"/>
    <mergeCell ref="G45:G46"/>
    <mergeCell ref="I45:I46"/>
    <mergeCell ref="J45:J46"/>
    <mergeCell ref="K45:K46"/>
    <mergeCell ref="B40:B41"/>
    <mergeCell ref="C40:C41"/>
    <mergeCell ref="D40:D41"/>
    <mergeCell ref="E40:E41"/>
    <mergeCell ref="F40:F41"/>
    <mergeCell ref="G40:G41"/>
    <mergeCell ref="I40:I41"/>
    <mergeCell ref="J40:J41"/>
    <mergeCell ref="J29:J30"/>
    <mergeCell ref="K29:K30"/>
    <mergeCell ref="K35:K36"/>
    <mergeCell ref="B38:B39"/>
    <mergeCell ref="C38:C39"/>
    <mergeCell ref="D38:D39"/>
    <mergeCell ref="E38:E39"/>
    <mergeCell ref="F38:F39"/>
    <mergeCell ref="G38:G39"/>
    <mergeCell ref="I38:I39"/>
    <mergeCell ref="J38:J39"/>
    <mergeCell ref="K38:K39"/>
    <mergeCell ref="B35:B36"/>
    <mergeCell ref="C35:C36"/>
    <mergeCell ref="D35:D36"/>
    <mergeCell ref="E35:E36"/>
    <mergeCell ref="F35:F36"/>
    <mergeCell ref="G35:G36"/>
    <mergeCell ref="I35:I36"/>
    <mergeCell ref="J35:J36"/>
    <mergeCell ref="D18:D19"/>
    <mergeCell ref="E18:E19"/>
    <mergeCell ref="F18:F19"/>
    <mergeCell ref="G18:G19"/>
    <mergeCell ref="I18:I19"/>
    <mergeCell ref="I29:I30"/>
    <mergeCell ref="E29:E30"/>
    <mergeCell ref="F29:F30"/>
    <mergeCell ref="G29:G30"/>
    <mergeCell ref="H29:H30"/>
    <mergeCell ref="A29:A30"/>
    <mergeCell ref="J3:K4"/>
    <mergeCell ref="D4:E4"/>
    <mergeCell ref="J18:J19"/>
    <mergeCell ref="K18:K19"/>
    <mergeCell ref="B11:B12"/>
    <mergeCell ref="C11:C12"/>
    <mergeCell ref="D11:D12"/>
    <mergeCell ref="E11:E12"/>
    <mergeCell ref="F11:F12"/>
    <mergeCell ref="G11:G12"/>
    <mergeCell ref="F4:G4"/>
    <mergeCell ref="H4:I4"/>
    <mergeCell ref="J11:J12"/>
    <mergeCell ref="B2:B5"/>
    <mergeCell ref="C2:C5"/>
    <mergeCell ref="D2:K2"/>
    <mergeCell ref="D3:E3"/>
    <mergeCell ref="F3:G3"/>
    <mergeCell ref="H3:I3"/>
    <mergeCell ref="I11:I12"/>
    <mergeCell ref="K11:K12"/>
    <mergeCell ref="B18:B19"/>
    <mergeCell ref="C18:C19"/>
  </mergeCells>
  <phoneticPr fontId="15" type="noConversion"/>
  <hyperlinks>
    <hyperlink ref="C2" location="Par1118" tooltip="&lt;3&gt; В графе 3 отражаются:" display="Par1118"/>
    <hyperlink ref="A7" location="Par1124" tooltip="&lt;4&gt; По строкам 0001 и 0002 указываются планируемые суммы остатков средств на начало и на конец планируемого года, если указанные показатели по решению органа, осуществляющего функции и полномочия учредителя, планируются на этапе формирования проекта Плана" display="Par1124"/>
    <hyperlink ref="A8" location="Par1124" tooltip="&lt;4&gt; По строкам 0001 и 0002 указываются планируемые суммы остатков средств на начало и на конец планируемого года, если указанные показатели по решению органа, осуществляющего функции и полномочия учредителя, планируются на этапе формирования проекта Плана" display="Par1124"/>
    <hyperlink ref="A34" location="Par1125" tooltip="&lt;5&gt;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, включая возврат предоставленных займов (микрозаймов), а также за счет возврата средств, размещенны" display="Par1125"/>
    <hyperlink ref="A76" location="Par1126" tooltip="&lt;6&gt; Показатели выплат по расходам на закупки товаров, работ, услуг, отраженные в строке 2600 раздела 1 &quot;Поступления и выплаты&quot; Плана, подлежат детализации в разделе 2 &quot;Сведения по выплатам на закупку товаров, работ, услуг&quot; Плана." display="Par1126"/>
    <hyperlink ref="A87" location="Par1127" tooltip="&lt;7&gt; Показатель отражается со знаком &quot;минус&quot;." display="Par1127"/>
    <hyperlink ref="A89" location="Par1127" tooltip="&lt;7&gt; Показатель отражается со знаком &quot;минус&quot;." display="Par1127"/>
    <hyperlink ref="A90" location="Par1127" tooltip="&lt;7&gt; Показатель отражается со знаком &quot;минус&quot;." display="Par1127"/>
    <hyperlink ref="A91" location="Par1127" tooltip="&lt;7&gt; Показатель отражается со знаком &quot;минус&quot;." display="Par1127"/>
    <hyperlink ref="A92" location="Par1128" tooltip="&lt;8&gt; Показатели прочих выплат включают в себя в том числе показатели уменьшения денежных средств за счет возврата средств субсидий, предоставленных до начала текущего финансового года, предоставления займов (микрозаймов), размещения автономными учреждениям" display="Par1128"/>
  </hyperlinks>
  <pageMargins left="0.39370078740157483" right="0.39370078740157483" top="0.39370078740157483" bottom="0.39370078740157483" header="0.31496062992125984" footer="0.31496062992125984"/>
  <pageSetup paperSize="9" scale="8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6"/>
  <sheetViews>
    <sheetView workbookViewId="0">
      <selection activeCell="E18" sqref="E18"/>
    </sheetView>
  </sheetViews>
  <sheetFormatPr defaultRowHeight="12.75" x14ac:dyDescent="0.2"/>
  <cols>
    <col min="1" max="1" width="26.5703125" style="3" customWidth="1"/>
    <col min="2" max="2" width="9.140625" style="3"/>
    <col min="3" max="11" width="17.85546875" style="3" customWidth="1"/>
    <col min="12" max="16384" width="9.140625" style="3"/>
  </cols>
  <sheetData>
    <row r="1" spans="1:11" ht="15.75" x14ac:dyDescent="0.25">
      <c r="A1" s="66" t="s">
        <v>156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15.75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49.5" customHeight="1" x14ac:dyDescent="0.2">
      <c r="A3" s="373" t="s">
        <v>154</v>
      </c>
      <c r="B3" s="373" t="s">
        <v>1</v>
      </c>
      <c r="C3" s="373" t="s">
        <v>148</v>
      </c>
      <c r="D3" s="373"/>
      <c r="E3" s="373"/>
      <c r="F3" s="373" t="s">
        <v>155</v>
      </c>
      <c r="G3" s="373"/>
      <c r="H3" s="373"/>
      <c r="I3" s="373" t="s">
        <v>150</v>
      </c>
      <c r="J3" s="373"/>
      <c r="K3" s="373"/>
    </row>
    <row r="4" spans="1:11" ht="15.75" x14ac:dyDescent="0.2">
      <c r="A4" s="373"/>
      <c r="B4" s="373"/>
      <c r="C4" s="343" t="s">
        <v>418</v>
      </c>
      <c r="D4" s="343" t="s">
        <v>548</v>
      </c>
      <c r="E4" s="343" t="s">
        <v>583</v>
      </c>
      <c r="F4" s="343" t="s">
        <v>418</v>
      </c>
      <c r="G4" s="343" t="s">
        <v>548</v>
      </c>
      <c r="H4" s="343" t="s">
        <v>583</v>
      </c>
      <c r="I4" s="343" t="s">
        <v>418</v>
      </c>
      <c r="J4" s="343" t="s">
        <v>548</v>
      </c>
      <c r="K4" s="343" t="s">
        <v>583</v>
      </c>
    </row>
    <row r="5" spans="1:11" ht="47.25" x14ac:dyDescent="0.2">
      <c r="A5" s="373"/>
      <c r="B5" s="373"/>
      <c r="C5" s="343" t="s">
        <v>73</v>
      </c>
      <c r="D5" s="343" t="s">
        <v>74</v>
      </c>
      <c r="E5" s="343" t="s">
        <v>75</v>
      </c>
      <c r="F5" s="343" t="s">
        <v>73</v>
      </c>
      <c r="G5" s="343" t="s">
        <v>74</v>
      </c>
      <c r="H5" s="343" t="s">
        <v>75</v>
      </c>
      <c r="I5" s="343" t="s">
        <v>73</v>
      </c>
      <c r="J5" s="343" t="s">
        <v>74</v>
      </c>
      <c r="K5" s="343" t="s">
        <v>75</v>
      </c>
    </row>
    <row r="6" spans="1:11" ht="15.75" x14ac:dyDescent="0.2">
      <c r="A6" s="343">
        <v>1</v>
      </c>
      <c r="B6" s="343">
        <v>2</v>
      </c>
      <c r="C6" s="343">
        <v>3</v>
      </c>
      <c r="D6" s="343">
        <v>4</v>
      </c>
      <c r="E6" s="343">
        <v>5</v>
      </c>
      <c r="F6" s="343">
        <v>6</v>
      </c>
      <c r="G6" s="343">
        <v>7</v>
      </c>
      <c r="H6" s="343">
        <v>8</v>
      </c>
      <c r="I6" s="343">
        <v>9</v>
      </c>
      <c r="J6" s="343">
        <v>10</v>
      </c>
      <c r="K6" s="343">
        <v>11</v>
      </c>
    </row>
    <row r="7" spans="1:11" ht="28.5" customHeight="1" x14ac:dyDescent="0.2">
      <c r="A7" s="17" t="s">
        <v>324</v>
      </c>
      <c r="B7" s="343"/>
      <c r="C7" s="17">
        <v>8907.44</v>
      </c>
      <c r="D7" s="17">
        <v>8907.44</v>
      </c>
      <c r="E7" s="17"/>
      <c r="F7" s="342">
        <f t="shared" ref="F7:G14" si="0">I7/C7</f>
        <v>7.8585991036706391</v>
      </c>
      <c r="G7" s="342">
        <f t="shared" si="0"/>
        <v>7.8585991036706391</v>
      </c>
      <c r="H7" s="17"/>
      <c r="I7" s="344">
        <v>70000</v>
      </c>
      <c r="J7" s="344">
        <v>70000</v>
      </c>
      <c r="K7" s="344"/>
    </row>
    <row r="8" spans="1:11" ht="30.75" customHeight="1" x14ac:dyDescent="0.2">
      <c r="A8" s="17" t="s">
        <v>327</v>
      </c>
      <c r="B8" s="343"/>
      <c r="C8" s="17">
        <v>8907.44</v>
      </c>
      <c r="D8" s="17">
        <v>8907.44</v>
      </c>
      <c r="E8" s="17"/>
      <c r="F8" s="342">
        <f t="shared" si="0"/>
        <v>6.7359420888605479</v>
      </c>
      <c r="G8" s="342">
        <f t="shared" si="0"/>
        <v>6.7359420888605479</v>
      </c>
      <c r="H8" s="17"/>
      <c r="I8" s="344">
        <v>60000</v>
      </c>
      <c r="J8" s="344">
        <v>60000</v>
      </c>
      <c r="K8" s="344"/>
    </row>
    <row r="9" spans="1:11" ht="29.25" customHeight="1" x14ac:dyDescent="0.2">
      <c r="A9" s="17" t="s">
        <v>322</v>
      </c>
      <c r="B9" s="343"/>
      <c r="C9" s="17">
        <v>23.12</v>
      </c>
      <c r="D9" s="17">
        <v>20.72</v>
      </c>
      <c r="E9" s="17"/>
      <c r="F9" s="342">
        <f t="shared" si="0"/>
        <v>865.05190311418676</v>
      </c>
      <c r="G9" s="342">
        <f t="shared" si="0"/>
        <v>965.25096525096535</v>
      </c>
      <c r="H9" s="17"/>
      <c r="I9" s="344">
        <v>20000</v>
      </c>
      <c r="J9" s="344">
        <v>20000</v>
      </c>
      <c r="K9" s="344"/>
    </row>
    <row r="10" spans="1:11" ht="24.75" customHeight="1" x14ac:dyDescent="0.2">
      <c r="A10" s="17" t="s">
        <v>325</v>
      </c>
      <c r="B10" s="343"/>
      <c r="C10" s="17">
        <v>24.67</v>
      </c>
      <c r="D10" s="17">
        <v>21.29</v>
      </c>
      <c r="E10" s="17"/>
      <c r="F10" s="342">
        <f t="shared" si="0"/>
        <v>810.70125658694769</v>
      </c>
      <c r="G10" s="342">
        <f t="shared" si="0"/>
        <v>939.40817285110381</v>
      </c>
      <c r="H10" s="17"/>
      <c r="I10" s="344">
        <v>20000</v>
      </c>
      <c r="J10" s="344">
        <v>20000</v>
      </c>
      <c r="K10" s="344"/>
    </row>
    <row r="11" spans="1:11" ht="30" customHeight="1" x14ac:dyDescent="0.2">
      <c r="A11" s="17" t="s">
        <v>323</v>
      </c>
      <c r="B11" s="343"/>
      <c r="C11" s="17">
        <v>20.96</v>
      </c>
      <c r="D11" s="17">
        <v>21.96</v>
      </c>
      <c r="E11" s="17"/>
      <c r="F11" s="342">
        <f t="shared" si="0"/>
        <v>954.19847328244271</v>
      </c>
      <c r="G11" s="342">
        <f t="shared" si="0"/>
        <v>910.74681238615665</v>
      </c>
      <c r="H11" s="344"/>
      <c r="I11" s="344">
        <v>20000</v>
      </c>
      <c r="J11" s="344">
        <v>20000</v>
      </c>
      <c r="K11" s="344"/>
    </row>
    <row r="12" spans="1:11" ht="31.5" x14ac:dyDescent="0.2">
      <c r="A12" s="17" t="s">
        <v>326</v>
      </c>
      <c r="B12" s="343"/>
      <c r="C12" s="17">
        <v>21.79</v>
      </c>
      <c r="D12" s="17">
        <v>24.36</v>
      </c>
      <c r="E12" s="17"/>
      <c r="F12" s="342">
        <f t="shared" si="0"/>
        <v>917.85222579164758</v>
      </c>
      <c r="G12" s="342">
        <f t="shared" si="0"/>
        <v>821.01806239737277</v>
      </c>
      <c r="H12" s="344"/>
      <c r="I12" s="344">
        <v>20000</v>
      </c>
      <c r="J12" s="344">
        <v>20000</v>
      </c>
      <c r="K12" s="344"/>
    </row>
    <row r="13" spans="1:11" ht="47.25" x14ac:dyDescent="0.2">
      <c r="A13" s="17" t="s">
        <v>631</v>
      </c>
      <c r="B13" s="343"/>
      <c r="C13" s="344">
        <v>2157.4699999999998</v>
      </c>
      <c r="D13" s="344">
        <v>2196.46</v>
      </c>
      <c r="E13" s="344"/>
      <c r="F13" s="342">
        <f t="shared" si="0"/>
        <v>92.701173133346018</v>
      </c>
      <c r="G13" s="342">
        <f t="shared" si="0"/>
        <v>91.055607659597712</v>
      </c>
      <c r="H13" s="344"/>
      <c r="I13" s="344">
        <v>200000</v>
      </c>
      <c r="J13" s="344">
        <v>200000</v>
      </c>
      <c r="K13" s="344"/>
    </row>
    <row r="14" spans="1:11" ht="51.75" customHeight="1" x14ac:dyDescent="0.2">
      <c r="A14" s="17" t="s">
        <v>632</v>
      </c>
      <c r="B14" s="343"/>
      <c r="C14" s="344">
        <v>2243.77</v>
      </c>
      <c r="D14" s="344">
        <v>2309.9299999999998</v>
      </c>
      <c r="E14" s="344"/>
      <c r="F14" s="342">
        <f t="shared" si="0"/>
        <v>38.535429210658847</v>
      </c>
      <c r="G14" s="342">
        <f t="shared" si="0"/>
        <v>37.43171438095527</v>
      </c>
      <c r="H14" s="344"/>
      <c r="I14" s="344">
        <v>86464.639999999999</v>
      </c>
      <c r="J14" s="344">
        <v>86464.639999999999</v>
      </c>
      <c r="K14" s="344"/>
    </row>
    <row r="15" spans="1:11" ht="15.75" x14ac:dyDescent="0.2">
      <c r="A15" s="17" t="s">
        <v>133</v>
      </c>
      <c r="B15" s="343">
        <v>9000</v>
      </c>
      <c r="C15" s="343" t="s">
        <v>11</v>
      </c>
      <c r="D15" s="343" t="s">
        <v>11</v>
      </c>
      <c r="E15" s="343" t="s">
        <v>11</v>
      </c>
      <c r="F15" s="343" t="s">
        <v>11</v>
      </c>
      <c r="G15" s="343" t="s">
        <v>11</v>
      </c>
      <c r="H15" s="343" t="s">
        <v>11</v>
      </c>
      <c r="I15" s="348">
        <f>SUM(I7:I14)</f>
        <v>496464.64000000001</v>
      </c>
      <c r="J15" s="240">
        <f>SUM(J7:J14)</f>
        <v>496464.64000000001</v>
      </c>
      <c r="K15" s="240">
        <f>SUM(K7:K13)</f>
        <v>0</v>
      </c>
    </row>
    <row r="16" spans="1:11" ht="15.75" x14ac:dyDescent="0.25">
      <c r="A16" s="66"/>
      <c r="B16" s="66"/>
      <c r="C16" s="66"/>
      <c r="D16" s="66"/>
      <c r="E16" s="66"/>
      <c r="F16" s="66"/>
      <c r="G16" s="66"/>
      <c r="H16" s="66"/>
      <c r="I16" s="97"/>
      <c r="J16" s="66"/>
      <c r="K16" s="66"/>
    </row>
  </sheetData>
  <mergeCells count="5">
    <mergeCell ref="I3:K3"/>
    <mergeCell ref="A3:A5"/>
    <mergeCell ref="B3:B5"/>
    <mergeCell ref="C3:E3"/>
    <mergeCell ref="F3:H3"/>
  </mergeCells>
  <phoneticPr fontId="15" type="noConversion"/>
  <pageMargins left="0.7" right="0.7" top="0.75" bottom="0.75" header="0.3" footer="0.3"/>
  <pageSetup paperSize="9"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8"/>
  <sheetViews>
    <sheetView workbookViewId="0">
      <selection activeCell="G33" sqref="G33"/>
    </sheetView>
  </sheetViews>
  <sheetFormatPr defaultRowHeight="12.75" x14ac:dyDescent="0.2"/>
  <cols>
    <col min="1" max="1" width="43.28515625" style="3" customWidth="1"/>
    <col min="2" max="2" width="9.140625" style="3"/>
    <col min="3" max="5" width="18.5703125" style="3" customWidth="1"/>
    <col min="6" max="16384" width="9.140625" style="3"/>
  </cols>
  <sheetData>
    <row r="1" spans="1:5" ht="31.5" customHeight="1" x14ac:dyDescent="0.2">
      <c r="A1" s="391" t="s">
        <v>164</v>
      </c>
      <c r="B1" s="391"/>
      <c r="C1" s="391"/>
      <c r="D1" s="391"/>
      <c r="E1" s="391"/>
    </row>
    <row r="2" spans="1:5" x14ac:dyDescent="0.2">
      <c r="A2" s="10"/>
      <c r="B2" s="11"/>
      <c r="C2" s="11"/>
      <c r="D2" s="11"/>
      <c r="E2" s="11"/>
    </row>
    <row r="3" spans="1:5" ht="32.25" customHeight="1" x14ac:dyDescent="0.2">
      <c r="A3" s="391" t="s">
        <v>165</v>
      </c>
      <c r="B3" s="391"/>
      <c r="C3" s="391"/>
      <c r="D3" s="391"/>
      <c r="E3" s="391"/>
    </row>
    <row r="5" spans="1:5" x14ac:dyDescent="0.2">
      <c r="A5" s="388" t="s">
        <v>0</v>
      </c>
      <c r="B5" s="388" t="s">
        <v>1</v>
      </c>
      <c r="C5" s="388" t="s">
        <v>113</v>
      </c>
      <c r="D5" s="388"/>
      <c r="E5" s="388"/>
    </row>
    <row r="6" spans="1:5" x14ac:dyDescent="0.2">
      <c r="A6" s="388"/>
      <c r="B6" s="388"/>
      <c r="C6" s="16" t="s">
        <v>417</v>
      </c>
      <c r="D6" s="16" t="s">
        <v>418</v>
      </c>
      <c r="E6" s="16" t="s">
        <v>548</v>
      </c>
    </row>
    <row r="7" spans="1:5" ht="25.5" x14ac:dyDescent="0.2">
      <c r="A7" s="388"/>
      <c r="B7" s="388"/>
      <c r="C7" s="2" t="s">
        <v>73</v>
      </c>
      <c r="D7" s="2" t="s">
        <v>74</v>
      </c>
      <c r="E7" s="2" t="s">
        <v>75</v>
      </c>
    </row>
    <row r="8" spans="1:5" x14ac:dyDescent="0.2">
      <c r="A8" s="2">
        <v>1</v>
      </c>
      <c r="B8" s="2">
        <v>2</v>
      </c>
      <c r="C8" s="2">
        <v>3</v>
      </c>
      <c r="D8" s="2">
        <v>4</v>
      </c>
      <c r="E8" s="2">
        <v>5</v>
      </c>
    </row>
    <row r="9" spans="1:5" ht="25.5" x14ac:dyDescent="0.2">
      <c r="A9" s="6" t="s">
        <v>114</v>
      </c>
      <c r="B9" s="2">
        <v>100</v>
      </c>
      <c r="C9" s="6"/>
      <c r="D9" s="6"/>
      <c r="E9" s="6"/>
    </row>
    <row r="10" spans="1:5" ht="38.25" x14ac:dyDescent="0.2">
      <c r="A10" s="6" t="s">
        <v>157</v>
      </c>
      <c r="B10" s="2">
        <v>200</v>
      </c>
      <c r="C10" s="6"/>
      <c r="D10" s="6"/>
      <c r="E10" s="6"/>
    </row>
    <row r="11" spans="1:5" ht="25.5" x14ac:dyDescent="0.2">
      <c r="A11" s="6" t="s">
        <v>158</v>
      </c>
      <c r="B11" s="2">
        <v>300</v>
      </c>
      <c r="C11" s="6"/>
      <c r="D11" s="6"/>
      <c r="E11" s="6"/>
    </row>
    <row r="12" spans="1:5" x14ac:dyDescent="0.2">
      <c r="A12" s="6" t="s">
        <v>14</v>
      </c>
      <c r="B12" s="388">
        <v>310</v>
      </c>
      <c r="C12" s="389"/>
      <c r="D12" s="389"/>
      <c r="E12" s="389"/>
    </row>
    <row r="13" spans="1:5" x14ac:dyDescent="0.2">
      <c r="A13" s="6" t="s">
        <v>159</v>
      </c>
      <c r="B13" s="388"/>
      <c r="C13" s="389"/>
      <c r="D13" s="389"/>
      <c r="E13" s="389"/>
    </row>
    <row r="14" spans="1:5" x14ac:dyDescent="0.2">
      <c r="A14" s="6" t="s">
        <v>160</v>
      </c>
      <c r="B14" s="2">
        <v>320</v>
      </c>
      <c r="C14" s="6"/>
      <c r="D14" s="6"/>
      <c r="E14" s="6"/>
    </row>
    <row r="15" spans="1:5" x14ac:dyDescent="0.2">
      <c r="A15" s="6" t="s">
        <v>161</v>
      </c>
      <c r="B15" s="2">
        <v>330</v>
      </c>
      <c r="C15" s="6"/>
      <c r="D15" s="6"/>
      <c r="E15" s="6"/>
    </row>
    <row r="16" spans="1:5" ht="25.5" x14ac:dyDescent="0.2">
      <c r="A16" s="6" t="s">
        <v>123</v>
      </c>
      <c r="B16" s="2">
        <v>400</v>
      </c>
      <c r="C16" s="6"/>
      <c r="D16" s="6"/>
      <c r="E16" s="6"/>
    </row>
    <row r="17" spans="1:5" ht="38.25" x14ac:dyDescent="0.2">
      <c r="A17" s="6" t="s">
        <v>162</v>
      </c>
      <c r="B17" s="2">
        <v>500</v>
      </c>
      <c r="C17" s="6"/>
      <c r="D17" s="6"/>
      <c r="E17" s="6"/>
    </row>
    <row r="18" spans="1:5" ht="38.25" x14ac:dyDescent="0.2">
      <c r="A18" s="6" t="s">
        <v>163</v>
      </c>
      <c r="B18" s="2">
        <v>600</v>
      </c>
      <c r="C18" s="6"/>
      <c r="D18" s="6"/>
      <c r="E18" s="6"/>
    </row>
  </sheetData>
  <mergeCells count="9">
    <mergeCell ref="B12:B13"/>
    <mergeCell ref="C12:C13"/>
    <mergeCell ref="D12:D13"/>
    <mergeCell ref="E12:E13"/>
    <mergeCell ref="A1:E1"/>
    <mergeCell ref="A3:E3"/>
    <mergeCell ref="A5:A7"/>
    <mergeCell ref="B5:B7"/>
    <mergeCell ref="C5:E5"/>
  </mergeCells>
  <phoneticPr fontId="15" type="noConversion"/>
  <pageMargins left="0.7" right="0.7" top="0.75" bottom="0.75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7"/>
  <sheetViews>
    <sheetView workbookViewId="0">
      <selection activeCell="E7" sqref="E7"/>
    </sheetView>
  </sheetViews>
  <sheetFormatPr defaultRowHeight="12.75" x14ac:dyDescent="0.2"/>
  <cols>
    <col min="1" max="1" width="27.85546875" style="3" customWidth="1"/>
    <col min="2" max="2" width="9.140625" style="3"/>
    <col min="3" max="5" width="18.7109375" style="3" customWidth="1"/>
    <col min="6" max="16384" width="9.140625" style="3"/>
  </cols>
  <sheetData>
    <row r="1" spans="1:5" x14ac:dyDescent="0.2">
      <c r="A1" s="395" t="s">
        <v>169</v>
      </c>
      <c r="B1" s="395"/>
      <c r="C1" s="395"/>
      <c r="D1" s="395"/>
      <c r="E1" s="395"/>
    </row>
    <row r="2" spans="1:5" x14ac:dyDescent="0.2">
      <c r="A2" s="11"/>
      <c r="B2" s="11"/>
      <c r="C2" s="11"/>
      <c r="D2" s="11"/>
      <c r="E2" s="11"/>
    </row>
    <row r="3" spans="1:5" x14ac:dyDescent="0.2">
      <c r="A3" s="395" t="s">
        <v>170</v>
      </c>
      <c r="B3" s="395"/>
      <c r="C3" s="395"/>
      <c r="D3" s="395"/>
      <c r="E3" s="395"/>
    </row>
    <row r="5" spans="1:5" x14ac:dyDescent="0.2">
      <c r="A5" s="388" t="s">
        <v>0</v>
      </c>
      <c r="B5" s="388" t="s">
        <v>1</v>
      </c>
      <c r="C5" s="388" t="s">
        <v>113</v>
      </c>
      <c r="D5" s="388"/>
      <c r="E5" s="388"/>
    </row>
    <row r="6" spans="1:5" x14ac:dyDescent="0.2">
      <c r="A6" s="388"/>
      <c r="B6" s="388"/>
      <c r="C6" s="16" t="s">
        <v>417</v>
      </c>
      <c r="D6" s="16" t="s">
        <v>418</v>
      </c>
      <c r="E6" s="16" t="s">
        <v>548</v>
      </c>
    </row>
    <row r="7" spans="1:5" ht="28.5" customHeight="1" x14ac:dyDescent="0.2">
      <c r="A7" s="388"/>
      <c r="B7" s="388"/>
      <c r="C7" s="2" t="s">
        <v>73</v>
      </c>
      <c r="D7" s="2" t="s">
        <v>74</v>
      </c>
      <c r="E7" s="2" t="s">
        <v>75</v>
      </c>
    </row>
    <row r="8" spans="1:5" ht="14.25" customHeight="1" x14ac:dyDescent="0.2">
      <c r="A8" s="2">
        <v>1</v>
      </c>
      <c r="B8" s="2">
        <v>2</v>
      </c>
      <c r="C8" s="2">
        <v>3</v>
      </c>
      <c r="D8" s="2">
        <v>4</v>
      </c>
      <c r="E8" s="2">
        <v>5</v>
      </c>
    </row>
    <row r="9" spans="1:5" ht="38.25" x14ac:dyDescent="0.2">
      <c r="A9" s="6" t="s">
        <v>114</v>
      </c>
      <c r="B9" s="2">
        <v>100</v>
      </c>
      <c r="C9" s="6"/>
      <c r="D9" s="6"/>
      <c r="E9" s="6"/>
    </row>
    <row r="10" spans="1:5" ht="63.75" x14ac:dyDescent="0.2">
      <c r="A10" s="6" t="s">
        <v>115</v>
      </c>
      <c r="B10" s="2">
        <v>200</v>
      </c>
      <c r="C10" s="6"/>
      <c r="D10" s="6"/>
      <c r="E10" s="6"/>
    </row>
    <row r="11" spans="1:5" ht="25.5" x14ac:dyDescent="0.2">
      <c r="A11" s="6" t="s">
        <v>166</v>
      </c>
      <c r="B11" s="2">
        <v>300</v>
      </c>
      <c r="C11" s="6"/>
      <c r="D11" s="6"/>
      <c r="E11" s="6"/>
    </row>
    <row r="12" spans="1:5" x14ac:dyDescent="0.2">
      <c r="A12" s="6" t="s">
        <v>14</v>
      </c>
      <c r="B12" s="388">
        <v>310</v>
      </c>
      <c r="C12" s="389"/>
      <c r="D12" s="389"/>
      <c r="E12" s="389"/>
    </row>
    <row r="13" spans="1:5" ht="25.5" x14ac:dyDescent="0.2">
      <c r="A13" s="6" t="s">
        <v>167</v>
      </c>
      <c r="B13" s="388"/>
      <c r="C13" s="389"/>
      <c r="D13" s="389"/>
      <c r="E13" s="389"/>
    </row>
    <row r="14" spans="1:5" ht="25.5" x14ac:dyDescent="0.2">
      <c r="A14" s="6" t="s">
        <v>168</v>
      </c>
      <c r="B14" s="2">
        <v>320</v>
      </c>
      <c r="C14" s="6"/>
      <c r="D14" s="6"/>
      <c r="E14" s="6"/>
    </row>
    <row r="15" spans="1:5" ht="38.25" x14ac:dyDescent="0.2">
      <c r="A15" s="6" t="s">
        <v>123</v>
      </c>
      <c r="B15" s="2">
        <v>400</v>
      </c>
      <c r="C15" s="6"/>
      <c r="D15" s="6"/>
      <c r="E15" s="6"/>
    </row>
    <row r="16" spans="1:5" ht="63.75" x14ac:dyDescent="0.2">
      <c r="A16" s="6" t="s">
        <v>124</v>
      </c>
      <c r="B16" s="2">
        <v>500</v>
      </c>
      <c r="C16" s="6"/>
      <c r="D16" s="6"/>
      <c r="E16" s="6"/>
    </row>
    <row r="17" spans="1:5" ht="63.75" x14ac:dyDescent="0.2">
      <c r="A17" s="6" t="s">
        <v>145</v>
      </c>
      <c r="B17" s="2">
        <v>600</v>
      </c>
      <c r="C17" s="6"/>
      <c r="D17" s="6"/>
      <c r="E17" s="6"/>
    </row>
  </sheetData>
  <mergeCells count="9">
    <mergeCell ref="B12:B13"/>
    <mergeCell ref="C12:C13"/>
    <mergeCell ref="D12:D13"/>
    <mergeCell ref="E12:E13"/>
    <mergeCell ref="A1:E1"/>
    <mergeCell ref="A3:E3"/>
    <mergeCell ref="A5:A7"/>
    <mergeCell ref="B5:B7"/>
    <mergeCell ref="C5:E5"/>
  </mergeCells>
  <phoneticPr fontId="15" type="noConversion"/>
  <pageMargins left="0.7" right="0.7" top="0.75" bottom="0.75" header="0.3" footer="0.3"/>
  <pageSetup paperSize="9" scale="9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4"/>
  <sheetViews>
    <sheetView view="pageLayout" workbookViewId="0">
      <selection activeCell="L21" sqref="L21"/>
    </sheetView>
  </sheetViews>
  <sheetFormatPr defaultRowHeight="12.75" x14ac:dyDescent="0.2"/>
  <cols>
    <col min="1" max="1" width="29.5703125" style="3" customWidth="1"/>
    <col min="2" max="2" width="9.140625" style="3"/>
    <col min="3" max="5" width="24.140625" style="3" customWidth="1"/>
    <col min="6" max="7" width="9.140625" style="3"/>
    <col min="8" max="8" width="12.7109375" style="3" customWidth="1"/>
    <col min="9" max="9" width="13.28515625" style="3" customWidth="1"/>
    <col min="10" max="16384" width="9.140625" style="3"/>
  </cols>
  <sheetData>
    <row r="1" spans="1:5" ht="24.75" customHeight="1" x14ac:dyDescent="0.2">
      <c r="A1" s="395" t="s">
        <v>621</v>
      </c>
      <c r="B1" s="395"/>
      <c r="C1" s="395"/>
      <c r="D1" s="395"/>
      <c r="E1" s="395"/>
    </row>
    <row r="2" spans="1:5" x14ac:dyDescent="0.2">
      <c r="A2" s="11"/>
      <c r="B2" s="11"/>
      <c r="C2" s="11"/>
      <c r="D2" s="11"/>
      <c r="E2" s="11"/>
    </row>
    <row r="3" spans="1:5" ht="21.75" customHeight="1" x14ac:dyDescent="0.2">
      <c r="A3" s="395" t="s">
        <v>620</v>
      </c>
      <c r="B3" s="395"/>
      <c r="C3" s="395"/>
      <c r="D3" s="395"/>
      <c r="E3" s="395"/>
    </row>
    <row r="6" spans="1:5" ht="18" customHeight="1" x14ac:dyDescent="0.2">
      <c r="A6" s="388" t="s">
        <v>0</v>
      </c>
      <c r="B6" s="388" t="s">
        <v>1</v>
      </c>
      <c r="C6" s="388" t="s">
        <v>113</v>
      </c>
      <c r="D6" s="388"/>
      <c r="E6" s="388"/>
    </row>
    <row r="7" spans="1:5" ht="18.75" customHeight="1" x14ac:dyDescent="0.2">
      <c r="A7" s="388"/>
      <c r="B7" s="388"/>
      <c r="C7" s="16" t="s">
        <v>418</v>
      </c>
      <c r="D7" s="16" t="s">
        <v>548</v>
      </c>
      <c r="E7" s="16" t="s">
        <v>583</v>
      </c>
    </row>
    <row r="8" spans="1:5" ht="31.5" customHeight="1" x14ac:dyDescent="0.2">
      <c r="A8" s="388"/>
      <c r="B8" s="388"/>
      <c r="C8" s="2" t="s">
        <v>73</v>
      </c>
      <c r="D8" s="2" t="s">
        <v>74</v>
      </c>
      <c r="E8" s="2" t="s">
        <v>75</v>
      </c>
    </row>
    <row r="9" spans="1:5" x14ac:dyDescent="0.2">
      <c r="A9" s="2">
        <v>1</v>
      </c>
      <c r="B9" s="2">
        <v>2</v>
      </c>
      <c r="C9" s="2">
        <v>3</v>
      </c>
      <c r="D9" s="2">
        <v>4</v>
      </c>
      <c r="E9" s="2">
        <v>5</v>
      </c>
    </row>
    <row r="10" spans="1:5" ht="47.25" customHeight="1" x14ac:dyDescent="0.2">
      <c r="A10" s="6" t="s">
        <v>114</v>
      </c>
      <c r="B10" s="347" t="s">
        <v>622</v>
      </c>
      <c r="C10" s="5">
        <v>0</v>
      </c>
      <c r="D10" s="5"/>
      <c r="E10" s="5"/>
    </row>
    <row r="11" spans="1:5" ht="69" customHeight="1" x14ac:dyDescent="0.2">
      <c r="A11" s="6" t="s">
        <v>115</v>
      </c>
      <c r="B11" s="347" t="s">
        <v>623</v>
      </c>
      <c r="C11" s="349" t="s">
        <v>633</v>
      </c>
      <c r="D11" s="5"/>
      <c r="E11" s="5"/>
    </row>
    <row r="12" spans="1:5" ht="26.25" customHeight="1" x14ac:dyDescent="0.2">
      <c r="A12" s="108" t="s">
        <v>612</v>
      </c>
      <c r="B12" s="347" t="s">
        <v>624</v>
      </c>
      <c r="C12" s="315">
        <f>C13+C19</f>
        <v>16617825.360000001</v>
      </c>
      <c r="D12" s="238">
        <f>D13+D19</f>
        <v>15063026</v>
      </c>
      <c r="E12" s="238">
        <f>E13+E18</f>
        <v>15163144.99</v>
      </c>
    </row>
    <row r="13" spans="1:5" ht="15" x14ac:dyDescent="0.2">
      <c r="A13" s="6" t="s">
        <v>14</v>
      </c>
      <c r="B13" s="396" t="s">
        <v>625</v>
      </c>
      <c r="C13" s="316">
        <f>C15+C16+C17</f>
        <v>16607825.360000001</v>
      </c>
      <c r="D13" s="398">
        <f>D15+D16+D17</f>
        <v>15063026</v>
      </c>
      <c r="E13" s="398">
        <f>E15+E16+E17</f>
        <v>15163144.99</v>
      </c>
    </row>
    <row r="14" spans="1:5" ht="15" x14ac:dyDescent="0.2">
      <c r="A14" s="6" t="s">
        <v>26</v>
      </c>
      <c r="B14" s="397"/>
      <c r="C14" s="317"/>
      <c r="D14" s="398"/>
      <c r="E14" s="398"/>
    </row>
    <row r="15" spans="1:5" ht="21" customHeight="1" x14ac:dyDescent="0.2">
      <c r="A15" s="12" t="s">
        <v>278</v>
      </c>
      <c r="B15" s="345"/>
      <c r="C15" s="237">
        <v>1559192.39</v>
      </c>
      <c r="D15" s="238">
        <v>213356</v>
      </c>
      <c r="E15" s="238">
        <v>199772.49</v>
      </c>
    </row>
    <row r="16" spans="1:5" ht="24" customHeight="1" x14ac:dyDescent="0.2">
      <c r="A16" s="12" t="s">
        <v>279</v>
      </c>
      <c r="B16" s="345"/>
      <c r="C16" s="237">
        <v>11437259.630000001</v>
      </c>
      <c r="D16" s="238">
        <v>11379560</v>
      </c>
      <c r="E16" s="238">
        <v>11412534.02</v>
      </c>
    </row>
    <row r="17" spans="1:9" ht="24" customHeight="1" x14ac:dyDescent="0.2">
      <c r="A17" s="12" t="s">
        <v>516</v>
      </c>
      <c r="B17" s="345"/>
      <c r="C17" s="237">
        <v>3611373.34</v>
      </c>
      <c r="D17" s="238">
        <v>3470110</v>
      </c>
      <c r="E17" s="238">
        <v>3550838.48</v>
      </c>
    </row>
    <row r="18" spans="1:9" ht="25.5" x14ac:dyDescent="0.2">
      <c r="A18" s="6" t="s">
        <v>27</v>
      </c>
      <c r="B18" s="347" t="s">
        <v>626</v>
      </c>
      <c r="C18" s="46">
        <v>0</v>
      </c>
      <c r="D18" s="46"/>
      <c r="E18" s="46"/>
    </row>
    <row r="19" spans="1:9" ht="51" x14ac:dyDescent="0.2">
      <c r="A19" s="108" t="s">
        <v>611</v>
      </c>
      <c r="B19" s="347" t="s">
        <v>627</v>
      </c>
      <c r="C19" s="46">
        <v>10000</v>
      </c>
      <c r="D19" s="275"/>
      <c r="E19" s="46"/>
    </row>
    <row r="20" spans="1:9" ht="38.25" x14ac:dyDescent="0.2">
      <c r="A20" s="6" t="s">
        <v>123</v>
      </c>
      <c r="B20" s="347" t="s">
        <v>628</v>
      </c>
      <c r="C20" s="46">
        <v>0</v>
      </c>
      <c r="D20" s="46"/>
      <c r="E20" s="46"/>
      <c r="I20" s="26"/>
    </row>
    <row r="21" spans="1:9" ht="63.75" x14ac:dyDescent="0.2">
      <c r="A21" s="6" t="s">
        <v>124</v>
      </c>
      <c r="B21" s="347" t="s">
        <v>629</v>
      </c>
      <c r="C21" s="46">
        <v>0</v>
      </c>
      <c r="D21" s="46"/>
      <c r="E21" s="46"/>
    </row>
    <row r="22" spans="1:9" ht="63.75" x14ac:dyDescent="0.2">
      <c r="A22" s="6" t="s">
        <v>145</v>
      </c>
      <c r="B22" s="347" t="s">
        <v>630</v>
      </c>
      <c r="C22" s="238" t="e">
        <f>C10+C11+C12</f>
        <v>#VALUE!</v>
      </c>
      <c r="D22" s="238">
        <f>D12</f>
        <v>15063026</v>
      </c>
      <c r="E22" s="238">
        <f>E12</f>
        <v>15163144.99</v>
      </c>
    </row>
    <row r="23" spans="1:9" x14ac:dyDescent="0.2">
      <c r="B23" s="346"/>
    </row>
    <row r="24" spans="1:9" x14ac:dyDescent="0.2">
      <c r="B24" s="346"/>
    </row>
  </sheetData>
  <mergeCells count="8">
    <mergeCell ref="B13:B14"/>
    <mergeCell ref="D13:D14"/>
    <mergeCell ref="E13:E14"/>
    <mergeCell ref="A1:E1"/>
    <mergeCell ref="A3:E3"/>
    <mergeCell ref="A6:A8"/>
    <mergeCell ref="B6:B8"/>
    <mergeCell ref="C6:E6"/>
  </mergeCells>
  <phoneticPr fontId="15" type="noConversion"/>
  <pageMargins left="0.7" right="0.7" top="0.75" bottom="0.75" header="0.3" footer="0.3"/>
  <pageSetup paperSize="9" scale="7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6"/>
  <sheetViews>
    <sheetView workbookViewId="0">
      <selection activeCell="D12" sqref="D12"/>
    </sheetView>
  </sheetViews>
  <sheetFormatPr defaultRowHeight="12.75" x14ac:dyDescent="0.2"/>
  <cols>
    <col min="1" max="1" width="32.28515625" style="3" customWidth="1"/>
    <col min="2" max="2" width="9.140625" style="3"/>
    <col min="3" max="5" width="21.42578125" style="3" customWidth="1"/>
    <col min="6" max="16384" width="9.140625" style="3"/>
  </cols>
  <sheetData>
    <row r="1" spans="1:5" x14ac:dyDescent="0.2">
      <c r="A1" s="391" t="s">
        <v>177</v>
      </c>
      <c r="B1" s="391"/>
      <c r="C1" s="391"/>
      <c r="D1" s="391"/>
      <c r="E1" s="391"/>
    </row>
    <row r="2" spans="1:5" x14ac:dyDescent="0.2">
      <c r="A2" s="10"/>
      <c r="B2" s="10"/>
      <c r="C2" s="10"/>
      <c r="D2" s="10"/>
      <c r="E2" s="10"/>
    </row>
    <row r="3" spans="1:5" ht="30.75" customHeight="1" x14ac:dyDescent="0.2">
      <c r="A3" s="391" t="s">
        <v>178</v>
      </c>
      <c r="B3" s="391"/>
      <c r="C3" s="391"/>
      <c r="D3" s="391"/>
      <c r="E3" s="391"/>
    </row>
    <row r="5" spans="1:5" x14ac:dyDescent="0.2">
      <c r="A5" s="388" t="s">
        <v>0</v>
      </c>
      <c r="B5" s="388" t="s">
        <v>1</v>
      </c>
      <c r="C5" s="388" t="s">
        <v>113</v>
      </c>
      <c r="D5" s="388"/>
      <c r="E5" s="388"/>
    </row>
    <row r="6" spans="1:5" x14ac:dyDescent="0.2">
      <c r="A6" s="388"/>
      <c r="B6" s="388"/>
      <c r="C6" s="16" t="s">
        <v>418</v>
      </c>
      <c r="D6" s="16" t="s">
        <v>548</v>
      </c>
      <c r="E6" s="16" t="s">
        <v>583</v>
      </c>
    </row>
    <row r="7" spans="1:5" ht="25.5" x14ac:dyDescent="0.2">
      <c r="A7" s="388"/>
      <c r="B7" s="388"/>
      <c r="C7" s="2" t="s">
        <v>73</v>
      </c>
      <c r="D7" s="2" t="s">
        <v>74</v>
      </c>
      <c r="E7" s="2" t="s">
        <v>75</v>
      </c>
    </row>
    <row r="8" spans="1:5" x14ac:dyDescent="0.2">
      <c r="A8" s="2">
        <v>1</v>
      </c>
      <c r="B8" s="2">
        <v>2</v>
      </c>
      <c r="C8" s="2">
        <v>3</v>
      </c>
      <c r="D8" s="2">
        <v>4</v>
      </c>
      <c r="E8" s="2">
        <v>5</v>
      </c>
    </row>
    <row r="9" spans="1:5" ht="38.25" x14ac:dyDescent="0.2">
      <c r="A9" s="6" t="s">
        <v>171</v>
      </c>
      <c r="B9" s="2">
        <v>100</v>
      </c>
      <c r="C9" s="6"/>
      <c r="D9" s="6"/>
      <c r="E9" s="6"/>
    </row>
    <row r="10" spans="1:5" ht="38.25" x14ac:dyDescent="0.2">
      <c r="A10" s="6" t="s">
        <v>172</v>
      </c>
      <c r="B10" s="2">
        <v>200</v>
      </c>
      <c r="C10" s="6"/>
      <c r="D10" s="6"/>
      <c r="E10" s="6"/>
    </row>
    <row r="11" spans="1:5" ht="23.25" customHeight="1" x14ac:dyDescent="0.2">
      <c r="A11" s="6" t="s">
        <v>173</v>
      </c>
      <c r="B11" s="2">
        <v>300</v>
      </c>
      <c r="C11" s="237">
        <f>C12+C13</f>
        <v>30581348.981300008</v>
      </c>
      <c r="D11" s="237">
        <f>D12+D13</f>
        <v>30224267.450800005</v>
      </c>
      <c r="E11" s="237">
        <f>E12+E13</f>
        <v>26722585.510800004</v>
      </c>
    </row>
    <row r="12" spans="1:5" ht="24" customHeight="1" x14ac:dyDescent="0.2">
      <c r="A12" s="12" t="s">
        <v>341</v>
      </c>
      <c r="B12" s="13"/>
      <c r="C12" s="237">
        <f>'3.6.3 (2)'!L109+'3.6.3 (2)'!L111</f>
        <v>29749091.521300007</v>
      </c>
      <c r="D12" s="237">
        <f>'3.6.4 (2)'!J106+'3.6.4 (2)'!J108</f>
        <v>29392009.990800004</v>
      </c>
      <c r="E12" s="237">
        <f>'3.6.5 (2)'!L104+'3.6.5 (2)'!L106</f>
        <v>25890328.050800003</v>
      </c>
    </row>
    <row r="13" spans="1:5" ht="25.5" x14ac:dyDescent="0.2">
      <c r="A13" s="12" t="s">
        <v>342</v>
      </c>
      <c r="B13" s="13"/>
      <c r="C13" s="237">
        <f>'3.6.3 (2)'!D117</f>
        <v>832257.45999999985</v>
      </c>
      <c r="D13" s="237">
        <f>'3.6.4 (2)'!D117</f>
        <v>832257.45999999985</v>
      </c>
      <c r="E13" s="237">
        <f>'3.6.5 (2)'!D112</f>
        <v>832257.45999999985</v>
      </c>
    </row>
    <row r="14" spans="1:5" ht="38.25" x14ac:dyDescent="0.2">
      <c r="A14" s="6" t="s">
        <v>174</v>
      </c>
      <c r="B14" s="2">
        <v>400</v>
      </c>
      <c r="C14" s="48"/>
      <c r="D14" s="48"/>
      <c r="E14" s="48"/>
    </row>
    <row r="15" spans="1:5" ht="42" customHeight="1" x14ac:dyDescent="0.2">
      <c r="A15" s="6" t="s">
        <v>175</v>
      </c>
      <c r="B15" s="2">
        <v>500</v>
      </c>
      <c r="C15" s="48"/>
      <c r="D15" s="48"/>
      <c r="E15" s="48"/>
    </row>
    <row r="16" spans="1:5" ht="38.25" x14ac:dyDescent="0.2">
      <c r="A16" s="6" t="s">
        <v>176</v>
      </c>
      <c r="B16" s="2">
        <v>600</v>
      </c>
      <c r="C16" s="239">
        <f>C9+C10+C11+C14+C15</f>
        <v>30581348.981300008</v>
      </c>
      <c r="D16" s="239">
        <f>D9+D11+D14+D15</f>
        <v>30224267.450800005</v>
      </c>
      <c r="E16" s="239">
        <f>E9+E10+E11+E14+E15</f>
        <v>26722585.510800004</v>
      </c>
    </row>
  </sheetData>
  <mergeCells count="5">
    <mergeCell ref="A5:A7"/>
    <mergeCell ref="B5:B7"/>
    <mergeCell ref="C5:E5"/>
    <mergeCell ref="A1:E1"/>
    <mergeCell ref="A3:E3"/>
  </mergeCells>
  <phoneticPr fontId="15" type="noConversion"/>
  <pageMargins left="0.7" right="0.7" top="0.75" bottom="0.75" header="0.3" footer="0.3"/>
  <pageSetup paperSize="9" scale="8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20"/>
  <sheetViews>
    <sheetView view="pageBreakPreview" topLeftCell="A100" zoomScaleSheetLayoutView="100" workbookViewId="0">
      <selection activeCell="L18" sqref="L18"/>
    </sheetView>
  </sheetViews>
  <sheetFormatPr defaultRowHeight="12.75" x14ac:dyDescent="0.2"/>
  <cols>
    <col min="1" max="1" width="25.7109375" style="3" customWidth="1"/>
    <col min="2" max="2" width="15.5703125" style="3" customWidth="1"/>
    <col min="3" max="3" width="14.85546875" style="3" customWidth="1"/>
    <col min="4" max="4" width="18.5703125" style="3" customWidth="1"/>
    <col min="5" max="5" width="16" style="3" customWidth="1"/>
    <col min="6" max="6" width="14.5703125" style="3" customWidth="1"/>
    <col min="7" max="7" width="17.7109375" style="3" customWidth="1"/>
    <col min="8" max="8" width="15.7109375" style="3" customWidth="1"/>
    <col min="9" max="9" width="18" style="3" customWidth="1"/>
    <col min="10" max="10" width="14.28515625" style="3" customWidth="1"/>
    <col min="11" max="11" width="17.7109375" style="3" customWidth="1"/>
    <col min="12" max="12" width="22.5703125" style="3" customWidth="1"/>
    <col min="13" max="14" width="9.140625" style="3"/>
    <col min="15" max="15" width="24.7109375" style="3" customWidth="1"/>
    <col min="16" max="16384" width="9.140625" style="3"/>
  </cols>
  <sheetData>
    <row r="1" spans="1:15" ht="31.5" customHeight="1" x14ac:dyDescent="0.25">
      <c r="A1" s="401" t="s">
        <v>584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</row>
    <row r="2" spans="1:15" ht="15" x14ac:dyDescent="0.25">
      <c r="A2" s="1" t="s">
        <v>427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5" ht="19.5" customHeight="1" x14ac:dyDescent="0.2">
      <c r="A3" s="399" t="s">
        <v>179</v>
      </c>
      <c r="B3" s="399" t="s">
        <v>1</v>
      </c>
      <c r="C3" s="399" t="s">
        <v>180</v>
      </c>
      <c r="D3" s="399" t="s">
        <v>181</v>
      </c>
      <c r="E3" s="399"/>
      <c r="F3" s="399"/>
      <c r="G3" s="399"/>
      <c r="H3" s="399"/>
      <c r="I3" s="399"/>
      <c r="J3" s="399"/>
      <c r="K3" s="399"/>
      <c r="L3" s="399" t="s">
        <v>182</v>
      </c>
    </row>
    <row r="4" spans="1:15" ht="15" x14ac:dyDescent="0.2">
      <c r="A4" s="399"/>
      <c r="B4" s="399"/>
      <c r="C4" s="399"/>
      <c r="D4" s="399" t="s">
        <v>183</v>
      </c>
      <c r="E4" s="399" t="s">
        <v>14</v>
      </c>
      <c r="F4" s="399"/>
      <c r="G4" s="399"/>
      <c r="H4" s="399"/>
      <c r="I4" s="399"/>
      <c r="J4" s="399"/>
      <c r="K4" s="399"/>
      <c r="L4" s="399"/>
    </row>
    <row r="5" spans="1:15" ht="33" customHeight="1" x14ac:dyDescent="0.2">
      <c r="A5" s="399"/>
      <c r="B5" s="399"/>
      <c r="C5" s="399"/>
      <c r="D5" s="399"/>
      <c r="E5" s="399" t="s">
        <v>184</v>
      </c>
      <c r="F5" s="399" t="s">
        <v>185</v>
      </c>
      <c r="G5" s="399" t="s">
        <v>186</v>
      </c>
      <c r="H5" s="399" t="s">
        <v>187</v>
      </c>
      <c r="I5" s="399"/>
      <c r="J5" s="399" t="s">
        <v>188</v>
      </c>
      <c r="K5" s="399"/>
      <c r="L5" s="399"/>
      <c r="O5" s="42"/>
    </row>
    <row r="6" spans="1:15" ht="45" x14ac:dyDescent="0.2">
      <c r="A6" s="399"/>
      <c r="B6" s="399"/>
      <c r="C6" s="399"/>
      <c r="D6" s="399"/>
      <c r="E6" s="399"/>
      <c r="F6" s="399"/>
      <c r="G6" s="399"/>
      <c r="H6" s="49" t="s">
        <v>189</v>
      </c>
      <c r="I6" s="49" t="s">
        <v>190</v>
      </c>
      <c r="J6" s="49" t="s">
        <v>189</v>
      </c>
      <c r="K6" s="49" t="s">
        <v>191</v>
      </c>
      <c r="L6" s="399"/>
    </row>
    <row r="7" spans="1:15" ht="15" x14ac:dyDescent="0.2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</row>
    <row r="8" spans="1:15" ht="15" x14ac:dyDescent="0.2">
      <c r="A8" s="137" t="s">
        <v>280</v>
      </c>
      <c r="B8" s="138">
        <v>1</v>
      </c>
      <c r="C8" s="137">
        <v>0.5</v>
      </c>
      <c r="D8" s="47">
        <f>E8+F8+G8+I8+K8</f>
        <v>13503.76</v>
      </c>
      <c r="E8" s="47">
        <v>8234</v>
      </c>
      <c r="F8" s="47"/>
      <c r="G8" s="47">
        <v>205.85</v>
      </c>
      <c r="H8" s="137">
        <v>30</v>
      </c>
      <c r="I8" s="47">
        <f t="shared" ref="I8:I16" si="0">(E8+F8+G8)*H8/100</f>
        <v>2531.9549999999999</v>
      </c>
      <c r="J8" s="137">
        <v>30</v>
      </c>
      <c r="K8" s="47">
        <f t="shared" ref="K8:K17" si="1">(E8+F8+G8)*J8/100</f>
        <v>2531.9549999999999</v>
      </c>
      <c r="L8" s="47">
        <f>C8*D8*12</f>
        <v>81022.559999999998</v>
      </c>
    </row>
    <row r="9" spans="1:15" ht="15" x14ac:dyDescent="0.2">
      <c r="A9" s="137" t="s">
        <v>281</v>
      </c>
      <c r="B9" s="138">
        <f t="shared" ref="B9:B16" si="2">B8+1</f>
        <v>2</v>
      </c>
      <c r="C9" s="137">
        <v>1</v>
      </c>
      <c r="D9" s="47">
        <f>E9+F9+G9+I9+K9</f>
        <v>12033.599999999999</v>
      </c>
      <c r="E9" s="47">
        <v>7521</v>
      </c>
      <c r="F9" s="47"/>
      <c r="G9" s="47"/>
      <c r="H9" s="137">
        <v>30</v>
      </c>
      <c r="I9" s="47">
        <f t="shared" si="0"/>
        <v>2256.3000000000002</v>
      </c>
      <c r="J9" s="137">
        <v>30</v>
      </c>
      <c r="K9" s="47">
        <f t="shared" si="1"/>
        <v>2256.3000000000002</v>
      </c>
      <c r="L9" s="47">
        <f>C9*D9*12</f>
        <v>144403.19999999998</v>
      </c>
    </row>
    <row r="10" spans="1:15" ht="15" x14ac:dyDescent="0.2">
      <c r="A10" s="137" t="s">
        <v>282</v>
      </c>
      <c r="B10" s="138">
        <f t="shared" si="2"/>
        <v>3</v>
      </c>
      <c r="C10" s="137">
        <v>1</v>
      </c>
      <c r="D10" s="47">
        <f t="shared" ref="D10:D16" si="3">E10+F10+G10+I10+K10</f>
        <v>11534.880000000001</v>
      </c>
      <c r="E10" s="47">
        <v>6866</v>
      </c>
      <c r="F10" s="47"/>
      <c r="G10" s="47">
        <v>343.3</v>
      </c>
      <c r="H10" s="137">
        <v>30</v>
      </c>
      <c r="I10" s="47">
        <f t="shared" si="0"/>
        <v>2162.79</v>
      </c>
      <c r="J10" s="137">
        <v>30</v>
      </c>
      <c r="K10" s="47">
        <f t="shared" si="1"/>
        <v>2162.79</v>
      </c>
      <c r="L10" s="47">
        <f t="shared" ref="L10:L16" si="4">C10*D10*12</f>
        <v>138418.56</v>
      </c>
    </row>
    <row r="11" spans="1:15" ht="15" x14ac:dyDescent="0.2">
      <c r="A11" s="137" t="s">
        <v>283</v>
      </c>
      <c r="B11" s="138">
        <f t="shared" si="2"/>
        <v>4</v>
      </c>
      <c r="C11" s="137">
        <v>0.5</v>
      </c>
      <c r="D11" s="47">
        <f t="shared" si="3"/>
        <v>13174.400000000001</v>
      </c>
      <c r="E11" s="47">
        <v>8234</v>
      </c>
      <c r="F11" s="47"/>
      <c r="G11" s="47"/>
      <c r="H11" s="137">
        <v>30</v>
      </c>
      <c r="I11" s="47">
        <f t="shared" si="0"/>
        <v>2470.1999999999998</v>
      </c>
      <c r="J11" s="137">
        <v>30</v>
      </c>
      <c r="K11" s="47">
        <f t="shared" si="1"/>
        <v>2470.1999999999998</v>
      </c>
      <c r="L11" s="47">
        <f t="shared" si="4"/>
        <v>79046.400000000009</v>
      </c>
    </row>
    <row r="12" spans="1:15" ht="15" x14ac:dyDescent="0.2">
      <c r="A12" s="137" t="s">
        <v>284</v>
      </c>
      <c r="B12" s="138">
        <f t="shared" si="2"/>
        <v>5</v>
      </c>
      <c r="C12" s="137">
        <v>0.5</v>
      </c>
      <c r="D12" s="47">
        <f t="shared" si="3"/>
        <v>13174.400000000001</v>
      </c>
      <c r="E12" s="47">
        <v>8234</v>
      </c>
      <c r="F12" s="47"/>
      <c r="G12" s="47"/>
      <c r="H12" s="137">
        <v>30</v>
      </c>
      <c r="I12" s="47">
        <f t="shared" si="0"/>
        <v>2470.1999999999998</v>
      </c>
      <c r="J12" s="137">
        <v>30</v>
      </c>
      <c r="K12" s="47">
        <f t="shared" si="1"/>
        <v>2470.1999999999998</v>
      </c>
      <c r="L12" s="47">
        <f t="shared" si="4"/>
        <v>79046.400000000009</v>
      </c>
    </row>
    <row r="13" spans="1:15" ht="15" x14ac:dyDescent="0.2">
      <c r="A13" s="137" t="s">
        <v>285</v>
      </c>
      <c r="B13" s="138">
        <f t="shared" si="2"/>
        <v>6</v>
      </c>
      <c r="C13" s="137">
        <v>4.3899999999999997</v>
      </c>
      <c r="D13" s="47">
        <f t="shared" si="3"/>
        <v>12172.8</v>
      </c>
      <c r="E13" s="47">
        <v>7226</v>
      </c>
      <c r="F13" s="47"/>
      <c r="G13" s="47">
        <v>382</v>
      </c>
      <c r="H13" s="137">
        <v>30</v>
      </c>
      <c r="I13" s="47">
        <f t="shared" si="0"/>
        <v>2282.4</v>
      </c>
      <c r="J13" s="137">
        <v>30</v>
      </c>
      <c r="K13" s="47">
        <f t="shared" si="1"/>
        <v>2282.4</v>
      </c>
      <c r="L13" s="47">
        <f t="shared" si="4"/>
        <v>641263.10399999982</v>
      </c>
    </row>
    <row r="14" spans="1:15" ht="18.75" customHeight="1" x14ac:dyDescent="0.2">
      <c r="A14" s="137" t="s">
        <v>286</v>
      </c>
      <c r="B14" s="138">
        <f t="shared" si="2"/>
        <v>7</v>
      </c>
      <c r="C14" s="137">
        <v>52.83</v>
      </c>
      <c r="D14" s="47">
        <f t="shared" si="3"/>
        <v>24433.919999999998</v>
      </c>
      <c r="E14" s="47">
        <v>8234</v>
      </c>
      <c r="F14" s="47">
        <v>799.4</v>
      </c>
      <c r="G14" s="47">
        <f>2761.14+2733.66+743</f>
        <v>6237.7999999999993</v>
      </c>
      <c r="H14" s="137">
        <v>30</v>
      </c>
      <c r="I14" s="47">
        <f t="shared" si="0"/>
        <v>4581.3599999999997</v>
      </c>
      <c r="J14" s="137">
        <v>30</v>
      </c>
      <c r="K14" s="47">
        <f t="shared" si="1"/>
        <v>4581.3599999999997</v>
      </c>
      <c r="L14" s="47">
        <f>C14*D14*12</f>
        <v>15490127.9232</v>
      </c>
    </row>
    <row r="15" spans="1:15" ht="18.75" customHeight="1" x14ac:dyDescent="0.2">
      <c r="A15" s="137" t="s">
        <v>421</v>
      </c>
      <c r="B15" s="138">
        <f t="shared" si="2"/>
        <v>8</v>
      </c>
      <c r="C15" s="137">
        <v>0.5</v>
      </c>
      <c r="D15" s="47">
        <f t="shared" si="3"/>
        <v>11561.599999999999</v>
      </c>
      <c r="E15" s="47">
        <v>7226</v>
      </c>
      <c r="F15" s="47"/>
      <c r="G15" s="47"/>
      <c r="H15" s="137">
        <v>30</v>
      </c>
      <c r="I15" s="47">
        <f t="shared" si="0"/>
        <v>2167.8000000000002</v>
      </c>
      <c r="J15" s="137">
        <v>30</v>
      </c>
      <c r="K15" s="47">
        <f t="shared" si="1"/>
        <v>2167.8000000000002</v>
      </c>
      <c r="L15" s="47">
        <f t="shared" si="4"/>
        <v>69369.599999999991</v>
      </c>
    </row>
    <row r="16" spans="1:15" ht="15" x14ac:dyDescent="0.2">
      <c r="A16" s="137" t="s">
        <v>287</v>
      </c>
      <c r="B16" s="138">
        <f t="shared" si="2"/>
        <v>9</v>
      </c>
      <c r="C16" s="137">
        <v>1</v>
      </c>
      <c r="D16" s="47">
        <f t="shared" si="3"/>
        <v>13092.32</v>
      </c>
      <c r="E16" s="47">
        <v>7226</v>
      </c>
      <c r="F16" s="47"/>
      <c r="G16" s="47">
        <v>956.7</v>
      </c>
      <c r="H16" s="137">
        <v>30</v>
      </c>
      <c r="I16" s="47">
        <f t="shared" si="0"/>
        <v>2454.81</v>
      </c>
      <c r="J16" s="137">
        <v>30</v>
      </c>
      <c r="K16" s="47">
        <f t="shared" si="1"/>
        <v>2454.81</v>
      </c>
      <c r="L16" s="47">
        <f t="shared" si="4"/>
        <v>157107.84</v>
      </c>
    </row>
    <row r="17" spans="1:14" ht="30" x14ac:dyDescent="0.2">
      <c r="A17" s="48" t="s">
        <v>288</v>
      </c>
      <c r="B17" s="49"/>
      <c r="C17" s="48"/>
      <c r="D17" s="46">
        <f>E17+F17+G17+I17+K17</f>
        <v>132845.12</v>
      </c>
      <c r="E17" s="46"/>
      <c r="F17" s="46"/>
      <c r="G17" s="46">
        <v>83028.2</v>
      </c>
      <c r="H17" s="48">
        <v>30</v>
      </c>
      <c r="I17" s="46">
        <f>(E17+F17+G17)*H17/100</f>
        <v>24908.46</v>
      </c>
      <c r="J17" s="48">
        <v>30</v>
      </c>
      <c r="K17" s="46">
        <f t="shared" si="1"/>
        <v>24908.46</v>
      </c>
      <c r="L17" s="46">
        <f>D17*12</f>
        <v>1594141.44</v>
      </c>
    </row>
    <row r="18" spans="1:14" ht="18" customHeight="1" x14ac:dyDescent="0.2">
      <c r="A18" s="48" t="s">
        <v>133</v>
      </c>
      <c r="B18" s="49">
        <v>9000</v>
      </c>
      <c r="C18" s="49" t="s">
        <v>11</v>
      </c>
      <c r="D18" s="46">
        <f>SUM(D8:D17)</f>
        <v>257526.80000000002</v>
      </c>
      <c r="E18" s="46">
        <f>SUM(E8:E17)</f>
        <v>69001</v>
      </c>
      <c r="F18" s="46">
        <f>SUM(F8:F17)</f>
        <v>799.4</v>
      </c>
      <c r="G18" s="46">
        <f>SUM(G8:G17)</f>
        <v>91153.849999999991</v>
      </c>
      <c r="H18" s="46"/>
      <c r="I18" s="46">
        <f>SUM(I8:I17)</f>
        <v>48286.274999999994</v>
      </c>
      <c r="J18" s="46"/>
      <c r="K18" s="46">
        <f>SUM(K8:K17)</f>
        <v>48286.274999999994</v>
      </c>
      <c r="L18" s="241">
        <f>SUM(L8:L17)+0.71+0.03</f>
        <v>18473947.767200004</v>
      </c>
      <c r="N18" s="36"/>
    </row>
    <row r="19" spans="1:14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4" ht="15" x14ac:dyDescent="0.25">
      <c r="A20" s="1" t="s">
        <v>431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4" ht="15" x14ac:dyDescent="0.2">
      <c r="A21" s="399" t="s">
        <v>179</v>
      </c>
      <c r="B21" s="399" t="s">
        <v>1</v>
      </c>
      <c r="C21" s="399" t="s">
        <v>180</v>
      </c>
      <c r="D21" s="399" t="s">
        <v>181</v>
      </c>
      <c r="E21" s="399"/>
      <c r="F21" s="399"/>
      <c r="G21" s="399"/>
      <c r="H21" s="399"/>
      <c r="I21" s="399"/>
      <c r="J21" s="399"/>
      <c r="K21" s="399"/>
      <c r="L21" s="399" t="s">
        <v>182</v>
      </c>
    </row>
    <row r="22" spans="1:14" ht="15" x14ac:dyDescent="0.2">
      <c r="A22" s="399"/>
      <c r="B22" s="399"/>
      <c r="C22" s="399"/>
      <c r="D22" s="399" t="s">
        <v>183</v>
      </c>
      <c r="E22" s="399" t="s">
        <v>14</v>
      </c>
      <c r="F22" s="399"/>
      <c r="G22" s="399"/>
      <c r="H22" s="399"/>
      <c r="I22" s="399"/>
      <c r="J22" s="399"/>
      <c r="K22" s="399"/>
      <c r="L22" s="399"/>
    </row>
    <row r="23" spans="1:14" ht="15" x14ac:dyDescent="0.2">
      <c r="A23" s="399"/>
      <c r="B23" s="399"/>
      <c r="C23" s="399"/>
      <c r="D23" s="399"/>
      <c r="E23" s="399" t="s">
        <v>184</v>
      </c>
      <c r="F23" s="399" t="s">
        <v>185</v>
      </c>
      <c r="G23" s="399" t="s">
        <v>186</v>
      </c>
      <c r="H23" s="399" t="s">
        <v>187</v>
      </c>
      <c r="I23" s="399"/>
      <c r="J23" s="399" t="s">
        <v>188</v>
      </c>
      <c r="K23" s="399"/>
      <c r="L23" s="399"/>
    </row>
    <row r="24" spans="1:14" ht="45" x14ac:dyDescent="0.2">
      <c r="A24" s="399"/>
      <c r="B24" s="399"/>
      <c r="C24" s="399"/>
      <c r="D24" s="399"/>
      <c r="E24" s="399"/>
      <c r="F24" s="399"/>
      <c r="G24" s="399"/>
      <c r="H24" s="49" t="s">
        <v>189</v>
      </c>
      <c r="I24" s="49" t="s">
        <v>190</v>
      </c>
      <c r="J24" s="49" t="s">
        <v>189</v>
      </c>
      <c r="K24" s="49" t="s">
        <v>191</v>
      </c>
      <c r="L24" s="399"/>
    </row>
    <row r="25" spans="1:14" ht="15" x14ac:dyDescent="0.2">
      <c r="A25" s="49">
        <v>1</v>
      </c>
      <c r="B25" s="49">
        <v>2</v>
      </c>
      <c r="C25" s="49">
        <v>3</v>
      </c>
      <c r="D25" s="49">
        <v>4</v>
      </c>
      <c r="E25" s="49">
        <v>5</v>
      </c>
      <c r="F25" s="49">
        <v>6</v>
      </c>
      <c r="G25" s="49">
        <v>7</v>
      </c>
      <c r="H25" s="49">
        <v>8</v>
      </c>
      <c r="I25" s="49">
        <v>9</v>
      </c>
      <c r="J25" s="49">
        <v>10</v>
      </c>
      <c r="K25" s="49">
        <v>11</v>
      </c>
      <c r="L25" s="49">
        <v>12</v>
      </c>
    </row>
    <row r="26" spans="1:14" ht="36" customHeight="1" x14ac:dyDescent="0.2">
      <c r="A26" s="48" t="s">
        <v>289</v>
      </c>
      <c r="B26" s="49">
        <v>1</v>
      </c>
      <c r="C26" s="48">
        <v>0.99</v>
      </c>
      <c r="D26" s="46">
        <f>E26+F26+G26+I26+K26</f>
        <v>12341.119999999999</v>
      </c>
      <c r="E26" s="46">
        <v>6556</v>
      </c>
      <c r="F26" s="46"/>
      <c r="G26" s="46">
        <v>1157.2</v>
      </c>
      <c r="H26" s="48">
        <v>30</v>
      </c>
      <c r="I26" s="46">
        <f>(E26+F26+G26)*H26/100</f>
        <v>2313.96</v>
      </c>
      <c r="J26" s="48">
        <v>30</v>
      </c>
      <c r="K26" s="46">
        <f>(E26+F26+G26)*J26/100</f>
        <v>2313.96</v>
      </c>
      <c r="L26" s="46">
        <f>C26*D26*12</f>
        <v>146612.50559999997</v>
      </c>
    </row>
    <row r="27" spans="1:14" ht="15" x14ac:dyDescent="0.2">
      <c r="A27" s="48" t="s">
        <v>290</v>
      </c>
      <c r="B27" s="49">
        <f>B26+1</f>
        <v>2</v>
      </c>
      <c r="C27" s="48">
        <v>1</v>
      </c>
      <c r="D27" s="46">
        <f>E27+F27+G27+I27+K27</f>
        <v>12440</v>
      </c>
      <c r="E27" s="46">
        <v>6866</v>
      </c>
      <c r="F27" s="46"/>
      <c r="G27" s="46">
        <v>909</v>
      </c>
      <c r="H27" s="48">
        <v>30</v>
      </c>
      <c r="I27" s="46">
        <f>(E27+F27+G27)*H27/100</f>
        <v>2332.5</v>
      </c>
      <c r="J27" s="48">
        <v>30</v>
      </c>
      <c r="K27" s="46">
        <f>(E27+F27+G27)*J27/100</f>
        <v>2332.5</v>
      </c>
      <c r="L27" s="46">
        <f>C27*D27*12</f>
        <v>149280</v>
      </c>
    </row>
    <row r="28" spans="1:14" ht="33" customHeight="1" x14ac:dyDescent="0.2">
      <c r="A28" s="48" t="s">
        <v>290</v>
      </c>
      <c r="B28" s="49">
        <f>B27+1</f>
        <v>3</v>
      </c>
      <c r="C28" s="48"/>
      <c r="D28" s="46">
        <f>E28+F28+G28+I28+K28</f>
        <v>0</v>
      </c>
      <c r="E28" s="46"/>
      <c r="F28" s="46"/>
      <c r="G28" s="46"/>
      <c r="H28" s="48">
        <v>30</v>
      </c>
      <c r="I28" s="46">
        <f>(E28+F28+G28)*H28/100</f>
        <v>0</v>
      </c>
      <c r="J28" s="48">
        <v>30</v>
      </c>
      <c r="K28" s="46">
        <f>(E28+F28+G28)*J28/100</f>
        <v>0</v>
      </c>
      <c r="L28" s="46">
        <f>C28*D28*12</f>
        <v>0</v>
      </c>
    </row>
    <row r="29" spans="1:14" ht="30" x14ac:dyDescent="0.2">
      <c r="A29" s="48" t="s">
        <v>288</v>
      </c>
      <c r="B29" s="49"/>
      <c r="C29" s="48"/>
      <c r="D29" s="46">
        <f>E29+F29+G29+I29+K29</f>
        <v>32638.671999999999</v>
      </c>
      <c r="E29" s="46"/>
      <c r="F29" s="46"/>
      <c r="G29" s="46">
        <f>20399.17</f>
        <v>20399.169999999998</v>
      </c>
      <c r="H29" s="48">
        <v>30</v>
      </c>
      <c r="I29" s="46">
        <f>(E29+F29+G29)*H29/100</f>
        <v>6119.7510000000002</v>
      </c>
      <c r="J29" s="48">
        <v>30</v>
      </c>
      <c r="K29" s="46">
        <f>(E29+F29+G29)*J29/100</f>
        <v>6119.7510000000002</v>
      </c>
      <c r="L29" s="46">
        <f>D29*12</f>
        <v>391664.06400000001</v>
      </c>
    </row>
    <row r="30" spans="1:14" ht="20.25" customHeight="1" x14ac:dyDescent="0.2">
      <c r="A30" s="48" t="s">
        <v>133</v>
      </c>
      <c r="B30" s="49">
        <v>9000</v>
      </c>
      <c r="C30" s="49" t="s">
        <v>11</v>
      </c>
      <c r="D30" s="46">
        <f>SUM(D26:D29)</f>
        <v>57419.792000000001</v>
      </c>
      <c r="E30" s="46">
        <f>SUM(E26:E29)</f>
        <v>13422</v>
      </c>
      <c r="F30" s="46">
        <f>SUM(F26:F29)</f>
        <v>0</v>
      </c>
      <c r="G30" s="46">
        <f>SUM(G26:G29)</f>
        <v>22465.37</v>
      </c>
      <c r="H30" s="46"/>
      <c r="I30" s="46">
        <f>SUM(I26:I29)</f>
        <v>10766.210999999999</v>
      </c>
      <c r="J30" s="46"/>
      <c r="K30" s="46">
        <f>SUM(K26:K29)</f>
        <v>10766.210999999999</v>
      </c>
      <c r="L30" s="241">
        <f>SUM(L26:L29)+9.43</f>
        <v>687565.9996000001</v>
      </c>
      <c r="N30" s="36"/>
    </row>
    <row r="31" spans="1:14" ht="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4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x14ac:dyDescent="0.25">
      <c r="A33" s="1" t="s">
        <v>428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x14ac:dyDescent="0.2">
      <c r="A34" s="399" t="s">
        <v>179</v>
      </c>
      <c r="B34" s="399" t="s">
        <v>1</v>
      </c>
      <c r="C34" s="399" t="s">
        <v>180</v>
      </c>
      <c r="D34" s="399" t="s">
        <v>181</v>
      </c>
      <c r="E34" s="399"/>
      <c r="F34" s="399"/>
      <c r="G34" s="399"/>
      <c r="H34" s="399"/>
      <c r="I34" s="399"/>
      <c r="J34" s="399"/>
      <c r="K34" s="399"/>
      <c r="L34" s="399" t="s">
        <v>182</v>
      </c>
    </row>
    <row r="35" spans="1:12" ht="15" x14ac:dyDescent="0.2">
      <c r="A35" s="399"/>
      <c r="B35" s="399"/>
      <c r="C35" s="399"/>
      <c r="D35" s="399" t="s">
        <v>183</v>
      </c>
      <c r="E35" s="399" t="s">
        <v>14</v>
      </c>
      <c r="F35" s="399"/>
      <c r="G35" s="399"/>
      <c r="H35" s="399"/>
      <c r="I35" s="399"/>
      <c r="J35" s="399"/>
      <c r="K35" s="399"/>
      <c r="L35" s="399"/>
    </row>
    <row r="36" spans="1:12" ht="15" x14ac:dyDescent="0.2">
      <c r="A36" s="399"/>
      <c r="B36" s="399"/>
      <c r="C36" s="399"/>
      <c r="D36" s="399"/>
      <c r="E36" s="399" t="s">
        <v>184</v>
      </c>
      <c r="F36" s="399" t="s">
        <v>185</v>
      </c>
      <c r="G36" s="399" t="s">
        <v>186</v>
      </c>
      <c r="H36" s="399" t="s">
        <v>187</v>
      </c>
      <c r="I36" s="399"/>
      <c r="J36" s="399" t="s">
        <v>188</v>
      </c>
      <c r="K36" s="399"/>
      <c r="L36" s="399"/>
    </row>
    <row r="37" spans="1:12" ht="45" x14ac:dyDescent="0.2">
      <c r="A37" s="399"/>
      <c r="B37" s="399"/>
      <c r="C37" s="399"/>
      <c r="D37" s="399"/>
      <c r="E37" s="399"/>
      <c r="F37" s="399"/>
      <c r="G37" s="399"/>
      <c r="H37" s="49" t="s">
        <v>189</v>
      </c>
      <c r="I37" s="49" t="s">
        <v>190</v>
      </c>
      <c r="J37" s="49" t="s">
        <v>189</v>
      </c>
      <c r="K37" s="49" t="s">
        <v>191</v>
      </c>
      <c r="L37" s="399"/>
    </row>
    <row r="38" spans="1:12" ht="15" x14ac:dyDescent="0.2">
      <c r="A38" s="49">
        <v>1</v>
      </c>
      <c r="B38" s="49">
        <v>2</v>
      </c>
      <c r="C38" s="49">
        <v>3</v>
      </c>
      <c r="D38" s="49">
        <v>4</v>
      </c>
      <c r="E38" s="49">
        <v>5</v>
      </c>
      <c r="F38" s="49">
        <v>6</v>
      </c>
      <c r="G38" s="49">
        <v>7</v>
      </c>
      <c r="H38" s="49">
        <v>8</v>
      </c>
      <c r="I38" s="49">
        <v>9</v>
      </c>
      <c r="J38" s="49">
        <v>10</v>
      </c>
      <c r="K38" s="49">
        <v>11</v>
      </c>
      <c r="L38" s="49">
        <v>12</v>
      </c>
    </row>
    <row r="39" spans="1:12" ht="15" x14ac:dyDescent="0.2">
      <c r="A39" s="48" t="s">
        <v>556</v>
      </c>
      <c r="B39" s="49">
        <v>1</v>
      </c>
      <c r="C39" s="48">
        <v>1</v>
      </c>
      <c r="D39" s="46">
        <f t="shared" ref="D39:D50" si="5">E39+F39+G39+I39+K39</f>
        <v>29882.159999999996</v>
      </c>
      <c r="E39" s="46">
        <v>17787</v>
      </c>
      <c r="F39" s="46"/>
      <c r="G39" s="46">
        <v>889.35</v>
      </c>
      <c r="H39" s="48">
        <v>30</v>
      </c>
      <c r="I39" s="46">
        <f t="shared" ref="I39:I51" si="6">(E39+F39+G39)*H39/100</f>
        <v>5602.9049999999997</v>
      </c>
      <c r="J39" s="48">
        <v>30</v>
      </c>
      <c r="K39" s="46">
        <f t="shared" ref="K39:K51" si="7">(E39+F39+G39)*J39/100</f>
        <v>5602.9049999999997</v>
      </c>
      <c r="L39" s="50">
        <f t="shared" ref="L39:L48" si="8">C39*D39*12</f>
        <v>358585.91999999993</v>
      </c>
    </row>
    <row r="40" spans="1:12" ht="30" x14ac:dyDescent="0.2">
      <c r="A40" s="48" t="s">
        <v>291</v>
      </c>
      <c r="B40" s="49">
        <f>B39+1</f>
        <v>2</v>
      </c>
      <c r="C40" s="48">
        <v>1</v>
      </c>
      <c r="D40" s="46">
        <f t="shared" si="5"/>
        <v>24902</v>
      </c>
      <c r="E40" s="46">
        <v>12451</v>
      </c>
      <c r="F40" s="46"/>
      <c r="G40" s="46">
        <v>3112.75</v>
      </c>
      <c r="H40" s="48">
        <v>30</v>
      </c>
      <c r="I40" s="46">
        <f t="shared" si="6"/>
        <v>4669.125</v>
      </c>
      <c r="J40" s="48">
        <v>30</v>
      </c>
      <c r="K40" s="46">
        <f t="shared" si="7"/>
        <v>4669.125</v>
      </c>
      <c r="L40" s="50">
        <f t="shared" si="8"/>
        <v>298824</v>
      </c>
    </row>
    <row r="41" spans="1:12" ht="30" x14ac:dyDescent="0.2">
      <c r="A41" s="48" t="s">
        <v>292</v>
      </c>
      <c r="B41" s="49">
        <f>B40+1</f>
        <v>3</v>
      </c>
      <c r="C41" s="48">
        <v>1</v>
      </c>
      <c r="D41" s="46">
        <f t="shared" si="5"/>
        <v>20794.400000000001</v>
      </c>
      <c r="E41" s="46">
        <v>12451</v>
      </c>
      <c r="F41" s="46"/>
      <c r="G41" s="46">
        <v>545.5</v>
      </c>
      <c r="H41" s="48">
        <v>30</v>
      </c>
      <c r="I41" s="46">
        <f t="shared" si="6"/>
        <v>3898.95</v>
      </c>
      <c r="J41" s="48">
        <v>30</v>
      </c>
      <c r="K41" s="46">
        <f t="shared" si="7"/>
        <v>3898.95</v>
      </c>
      <c r="L41" s="50">
        <f t="shared" si="8"/>
        <v>249532.80000000002</v>
      </c>
    </row>
    <row r="42" spans="1:12" ht="30" x14ac:dyDescent="0.2">
      <c r="A42" s="48" t="s">
        <v>291</v>
      </c>
      <c r="B42" s="49">
        <f>B41+1</f>
        <v>4</v>
      </c>
      <c r="C42" s="48">
        <v>1</v>
      </c>
      <c r="D42" s="46">
        <f>E42+F42+G42+I42+K42</f>
        <v>20419.648000000001</v>
      </c>
      <c r="E42" s="46">
        <v>12451</v>
      </c>
      <c r="F42" s="46"/>
      <c r="G42" s="46">
        <v>311.27999999999997</v>
      </c>
      <c r="H42" s="48">
        <v>30</v>
      </c>
      <c r="I42" s="46">
        <f t="shared" si="6"/>
        <v>3828.6840000000002</v>
      </c>
      <c r="J42" s="51">
        <v>30</v>
      </c>
      <c r="K42" s="46">
        <f t="shared" si="7"/>
        <v>3828.6840000000002</v>
      </c>
      <c r="L42" s="50">
        <f t="shared" si="8"/>
        <v>245035.77600000001</v>
      </c>
    </row>
    <row r="43" spans="1:12" ht="30" x14ac:dyDescent="0.2">
      <c r="A43" s="48" t="s">
        <v>420</v>
      </c>
      <c r="B43" s="49">
        <v>5</v>
      </c>
      <c r="C43" s="48">
        <v>1</v>
      </c>
      <c r="D43" s="46">
        <f t="shared" si="5"/>
        <v>20917.679999999997</v>
      </c>
      <c r="E43" s="46">
        <v>12451</v>
      </c>
      <c r="F43" s="46"/>
      <c r="G43" s="46">
        <v>622.54999999999995</v>
      </c>
      <c r="H43" s="48">
        <v>30</v>
      </c>
      <c r="I43" s="46">
        <f t="shared" si="6"/>
        <v>3922.0650000000001</v>
      </c>
      <c r="J43" s="48">
        <v>30</v>
      </c>
      <c r="K43" s="46">
        <f t="shared" si="7"/>
        <v>3922.0650000000001</v>
      </c>
      <c r="L43" s="50">
        <f t="shared" si="8"/>
        <v>251012.15999999997</v>
      </c>
    </row>
    <row r="44" spans="1:12" ht="15" x14ac:dyDescent="0.2">
      <c r="A44" s="48" t="s">
        <v>313</v>
      </c>
      <c r="B44" s="49">
        <v>6</v>
      </c>
      <c r="C44" s="48">
        <v>0.8</v>
      </c>
      <c r="D44" s="46">
        <f t="shared" si="5"/>
        <v>8221.44</v>
      </c>
      <c r="E44" s="46">
        <v>4282</v>
      </c>
      <c r="F44" s="46"/>
      <c r="G44" s="46">
        <v>856.4</v>
      </c>
      <c r="H44" s="48">
        <v>30</v>
      </c>
      <c r="I44" s="46">
        <f t="shared" si="6"/>
        <v>1541.52</v>
      </c>
      <c r="J44" s="48">
        <v>30</v>
      </c>
      <c r="K44" s="46">
        <f t="shared" si="7"/>
        <v>1541.52</v>
      </c>
      <c r="L44" s="50">
        <f t="shared" si="8"/>
        <v>78925.824000000008</v>
      </c>
    </row>
    <row r="45" spans="1:12" ht="15" x14ac:dyDescent="0.2">
      <c r="A45" s="48" t="s">
        <v>294</v>
      </c>
      <c r="B45" s="49">
        <f>B44+1</f>
        <v>7</v>
      </c>
      <c r="C45" s="48">
        <v>1</v>
      </c>
      <c r="D45" s="46">
        <f t="shared" si="5"/>
        <v>6542.0800000000008</v>
      </c>
      <c r="E45" s="46">
        <v>3894</v>
      </c>
      <c r="F45" s="46"/>
      <c r="G45" s="46">
        <v>194.8</v>
      </c>
      <c r="H45" s="48">
        <v>30</v>
      </c>
      <c r="I45" s="46">
        <f t="shared" si="6"/>
        <v>1226.6400000000001</v>
      </c>
      <c r="J45" s="48">
        <v>30</v>
      </c>
      <c r="K45" s="46">
        <f t="shared" si="7"/>
        <v>1226.6400000000001</v>
      </c>
      <c r="L45" s="50">
        <f t="shared" si="8"/>
        <v>78504.960000000006</v>
      </c>
    </row>
    <row r="46" spans="1:12" ht="15" x14ac:dyDescent="0.2">
      <c r="A46" s="48" t="s">
        <v>295</v>
      </c>
      <c r="B46" s="49">
        <v>8</v>
      </c>
      <c r="C46" s="48">
        <v>1</v>
      </c>
      <c r="D46" s="46">
        <f t="shared" si="5"/>
        <v>7536.32</v>
      </c>
      <c r="E46" s="46">
        <v>4282</v>
      </c>
      <c r="F46" s="46"/>
      <c r="G46" s="46">
        <v>428.2</v>
      </c>
      <c r="H46" s="48">
        <v>30</v>
      </c>
      <c r="I46" s="46">
        <f t="shared" si="6"/>
        <v>1413.06</v>
      </c>
      <c r="J46" s="48">
        <v>30</v>
      </c>
      <c r="K46" s="46">
        <f t="shared" si="7"/>
        <v>1413.06</v>
      </c>
      <c r="L46" s="50">
        <f t="shared" si="8"/>
        <v>90435.839999999997</v>
      </c>
    </row>
    <row r="47" spans="1:12" ht="15" x14ac:dyDescent="0.2">
      <c r="A47" s="48" t="s">
        <v>296</v>
      </c>
      <c r="B47" s="49">
        <f>B46+1</f>
        <v>9</v>
      </c>
      <c r="C47" s="48">
        <v>1</v>
      </c>
      <c r="D47" s="46">
        <f t="shared" si="5"/>
        <v>12033.599999999999</v>
      </c>
      <c r="E47" s="46">
        <v>7521</v>
      </c>
      <c r="F47" s="46"/>
      <c r="G47" s="46"/>
      <c r="H47" s="48">
        <v>30</v>
      </c>
      <c r="I47" s="46">
        <f t="shared" si="6"/>
        <v>2256.3000000000002</v>
      </c>
      <c r="J47" s="48">
        <v>30</v>
      </c>
      <c r="K47" s="46">
        <f t="shared" si="7"/>
        <v>2256.3000000000002</v>
      </c>
      <c r="L47" s="50">
        <f t="shared" si="8"/>
        <v>144403.19999999998</v>
      </c>
    </row>
    <row r="48" spans="1:12" ht="15" x14ac:dyDescent="0.2">
      <c r="A48" s="48" t="s">
        <v>297</v>
      </c>
      <c r="B48" s="49">
        <v>10</v>
      </c>
      <c r="C48" s="48">
        <v>0.25</v>
      </c>
      <c r="D48" s="46">
        <f t="shared" si="5"/>
        <v>6851.2000000000007</v>
      </c>
      <c r="E48" s="46">
        <v>4282</v>
      </c>
      <c r="F48" s="46"/>
      <c r="G48" s="46"/>
      <c r="H48" s="48">
        <v>30</v>
      </c>
      <c r="I48" s="46">
        <f t="shared" si="6"/>
        <v>1284.5999999999999</v>
      </c>
      <c r="J48" s="48">
        <v>30</v>
      </c>
      <c r="K48" s="46">
        <f t="shared" si="7"/>
        <v>1284.5999999999999</v>
      </c>
      <c r="L48" s="50">
        <f t="shared" si="8"/>
        <v>20553.600000000002</v>
      </c>
    </row>
    <row r="49" spans="1:14" ht="45" x14ac:dyDescent="0.2">
      <c r="A49" s="48" t="s">
        <v>549</v>
      </c>
      <c r="B49" s="49"/>
      <c r="C49" s="48"/>
      <c r="D49" s="46">
        <f>E49+F49+G49+I49+K49</f>
        <v>17360.112000000001</v>
      </c>
      <c r="E49" s="46"/>
      <c r="F49" s="46"/>
      <c r="G49" s="46">
        <v>10850.07</v>
      </c>
      <c r="H49" s="48">
        <v>30</v>
      </c>
      <c r="I49" s="46">
        <f t="shared" si="6"/>
        <v>3255.0209999999997</v>
      </c>
      <c r="J49" s="48">
        <v>30</v>
      </c>
      <c r="K49" s="46">
        <f t="shared" si="7"/>
        <v>3255.0209999999997</v>
      </c>
      <c r="L49" s="50">
        <f>D49*12</f>
        <v>208321.34400000001</v>
      </c>
    </row>
    <row r="50" spans="1:14" ht="30" x14ac:dyDescent="0.2">
      <c r="A50" s="48" t="s">
        <v>298</v>
      </c>
      <c r="B50" s="49"/>
      <c r="C50" s="48"/>
      <c r="D50" s="46">
        <f t="shared" si="5"/>
        <v>48857.695999999996</v>
      </c>
      <c r="E50" s="46"/>
      <c r="F50" s="46"/>
      <c r="G50" s="46">
        <f>1079.09+27243.69+2213.28</f>
        <v>30536.059999999998</v>
      </c>
      <c r="H50" s="48">
        <v>30</v>
      </c>
      <c r="I50" s="46">
        <f t="shared" si="6"/>
        <v>9160.8179999999993</v>
      </c>
      <c r="J50" s="48">
        <v>30</v>
      </c>
      <c r="K50" s="46">
        <f t="shared" si="7"/>
        <v>9160.8179999999993</v>
      </c>
      <c r="L50" s="50">
        <f>D50*12</f>
        <v>586292.35199999996</v>
      </c>
    </row>
    <row r="51" spans="1:14" ht="21.75" customHeight="1" x14ac:dyDescent="0.2">
      <c r="A51" s="48" t="s">
        <v>299</v>
      </c>
      <c r="B51" s="49"/>
      <c r="C51" s="48"/>
      <c r="D51" s="46">
        <f>E51+F51+G51+I51+K51</f>
        <v>48072</v>
      </c>
      <c r="E51" s="46"/>
      <c r="F51" s="46"/>
      <c r="G51" s="46">
        <v>30045</v>
      </c>
      <c r="H51" s="48">
        <v>30</v>
      </c>
      <c r="I51" s="46">
        <f t="shared" si="6"/>
        <v>9013.5</v>
      </c>
      <c r="J51" s="48">
        <v>30</v>
      </c>
      <c r="K51" s="46">
        <f t="shared" si="7"/>
        <v>9013.5</v>
      </c>
      <c r="L51" s="50">
        <f>D51*12+309669.74</f>
        <v>886533.74</v>
      </c>
    </row>
    <row r="52" spans="1:14" ht="22.5" customHeight="1" x14ac:dyDescent="0.2">
      <c r="A52" s="48" t="s">
        <v>133</v>
      </c>
      <c r="B52" s="49">
        <v>9000</v>
      </c>
      <c r="C52" s="49" t="s">
        <v>11</v>
      </c>
      <c r="D52" s="46">
        <f>SUM(D39:D51)</f>
        <v>272390.33600000001</v>
      </c>
      <c r="E52" s="46">
        <f>SUM(E39:E51)</f>
        <v>91852</v>
      </c>
      <c r="F52" s="46">
        <f>SUM(F39:F51)</f>
        <v>0</v>
      </c>
      <c r="G52" s="46">
        <f>SUM(G39:G51)</f>
        <v>78391.959999999992</v>
      </c>
      <c r="H52" s="46"/>
      <c r="I52" s="46">
        <f>SUM(I39:I51)</f>
        <v>51073.187999999995</v>
      </c>
      <c r="J52" s="46"/>
      <c r="K52" s="46">
        <f>SUM(K39:K51)</f>
        <v>51073.187999999995</v>
      </c>
      <c r="L52" s="241">
        <f>SUM(L39:L51)-77.78</f>
        <v>3496883.736</v>
      </c>
      <c r="N52" s="36"/>
    </row>
    <row r="53" spans="1:14" ht="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4" ht="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4" ht="15" x14ac:dyDescent="0.25">
      <c r="A55" s="1" t="s">
        <v>300</v>
      </c>
      <c r="B55" s="1" t="s">
        <v>429</v>
      </c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4" ht="15" x14ac:dyDescent="0.2">
      <c r="A56" s="399" t="s">
        <v>179</v>
      </c>
      <c r="B56" s="399" t="s">
        <v>1</v>
      </c>
      <c r="C56" s="399" t="s">
        <v>180</v>
      </c>
      <c r="D56" s="399" t="s">
        <v>181</v>
      </c>
      <c r="E56" s="399"/>
      <c r="F56" s="399"/>
      <c r="G56" s="399"/>
      <c r="H56" s="399"/>
      <c r="I56" s="399"/>
      <c r="J56" s="399"/>
      <c r="K56" s="399"/>
      <c r="L56" s="399" t="s">
        <v>182</v>
      </c>
    </row>
    <row r="57" spans="1:14" ht="15" x14ac:dyDescent="0.2">
      <c r="A57" s="399"/>
      <c r="B57" s="399"/>
      <c r="C57" s="399"/>
      <c r="D57" s="399" t="s">
        <v>183</v>
      </c>
      <c r="E57" s="399" t="s">
        <v>14</v>
      </c>
      <c r="F57" s="399"/>
      <c r="G57" s="399"/>
      <c r="H57" s="399"/>
      <c r="I57" s="399"/>
      <c r="J57" s="399"/>
      <c r="K57" s="399"/>
      <c r="L57" s="399"/>
    </row>
    <row r="58" spans="1:14" ht="15" x14ac:dyDescent="0.2">
      <c r="A58" s="399"/>
      <c r="B58" s="399"/>
      <c r="C58" s="399"/>
      <c r="D58" s="399"/>
      <c r="E58" s="399" t="s">
        <v>184</v>
      </c>
      <c r="F58" s="399" t="s">
        <v>185</v>
      </c>
      <c r="G58" s="399" t="s">
        <v>186</v>
      </c>
      <c r="H58" s="399" t="s">
        <v>187</v>
      </c>
      <c r="I58" s="399"/>
      <c r="J58" s="399" t="s">
        <v>188</v>
      </c>
      <c r="K58" s="399"/>
      <c r="L58" s="399"/>
    </row>
    <row r="59" spans="1:14" ht="45" x14ac:dyDescent="0.2">
      <c r="A59" s="399"/>
      <c r="B59" s="399"/>
      <c r="C59" s="399"/>
      <c r="D59" s="399"/>
      <c r="E59" s="399"/>
      <c r="F59" s="399"/>
      <c r="G59" s="399"/>
      <c r="H59" s="49" t="s">
        <v>189</v>
      </c>
      <c r="I59" s="49" t="s">
        <v>190</v>
      </c>
      <c r="J59" s="49" t="s">
        <v>189</v>
      </c>
      <c r="K59" s="49" t="s">
        <v>191</v>
      </c>
      <c r="L59" s="399"/>
    </row>
    <row r="60" spans="1:14" ht="15" x14ac:dyDescent="0.2">
      <c r="A60" s="49">
        <v>1</v>
      </c>
      <c r="B60" s="49">
        <v>2</v>
      </c>
      <c r="C60" s="49">
        <v>3</v>
      </c>
      <c r="D60" s="49">
        <v>4</v>
      </c>
      <c r="E60" s="49">
        <v>5</v>
      </c>
      <c r="F60" s="49">
        <v>6</v>
      </c>
      <c r="G60" s="49">
        <v>7</v>
      </c>
      <c r="H60" s="49">
        <v>8</v>
      </c>
      <c r="I60" s="49">
        <v>9</v>
      </c>
      <c r="J60" s="49">
        <v>10</v>
      </c>
      <c r="K60" s="49">
        <v>11</v>
      </c>
      <c r="L60" s="49">
        <v>12</v>
      </c>
    </row>
    <row r="61" spans="1:14" ht="15" x14ac:dyDescent="0.2">
      <c r="A61" s="48" t="s">
        <v>301</v>
      </c>
      <c r="B61" s="49">
        <v>1</v>
      </c>
      <c r="C61" s="48">
        <v>2</v>
      </c>
      <c r="D61" s="46">
        <f>E61+F61+G61+I61+K61</f>
        <v>6965.8240000000005</v>
      </c>
      <c r="E61" s="46">
        <v>3511</v>
      </c>
      <c r="F61" s="46">
        <v>140.44</v>
      </c>
      <c r="G61" s="46">
        <v>702.2</v>
      </c>
      <c r="H61" s="48">
        <v>30</v>
      </c>
      <c r="I61" s="46">
        <f>(E61+F61+G61)*H61/100</f>
        <v>1306.0920000000001</v>
      </c>
      <c r="J61" s="48">
        <v>30</v>
      </c>
      <c r="K61" s="46">
        <f>(E61+F61+G61)*J61/100</f>
        <v>1306.0920000000001</v>
      </c>
      <c r="L61" s="46">
        <f>C61*D61*12</f>
        <v>167179.77600000001</v>
      </c>
    </row>
    <row r="62" spans="1:14" ht="15" x14ac:dyDescent="0.2">
      <c r="A62" s="48" t="s">
        <v>302</v>
      </c>
      <c r="B62" s="49">
        <f>B61+1</f>
        <v>2</v>
      </c>
      <c r="C62" s="48">
        <v>0.5</v>
      </c>
      <c r="D62" s="46">
        <f>E62+F62+G62+I62+K62</f>
        <v>5163.3920000000007</v>
      </c>
      <c r="E62" s="46">
        <v>3016</v>
      </c>
      <c r="F62" s="46">
        <v>60.32</v>
      </c>
      <c r="G62" s="46">
        <v>150.80000000000001</v>
      </c>
      <c r="H62" s="48">
        <v>30</v>
      </c>
      <c r="I62" s="46">
        <f>(E62+F62+G62)*H62/100</f>
        <v>968.13600000000008</v>
      </c>
      <c r="J62" s="48">
        <v>30</v>
      </c>
      <c r="K62" s="46">
        <f>(E62+F62+G62)*J62/100</f>
        <v>968.13600000000008</v>
      </c>
      <c r="L62" s="46">
        <v>31559.4</v>
      </c>
    </row>
    <row r="63" spans="1:14" ht="15" x14ac:dyDescent="0.2">
      <c r="A63" s="48" t="s">
        <v>303</v>
      </c>
      <c r="B63" s="49">
        <f>B62+1</f>
        <v>3</v>
      </c>
      <c r="C63" s="48">
        <v>0.5</v>
      </c>
      <c r="D63" s="46">
        <f>E63+F63+G63+I63+K63</f>
        <v>5163.3920000000007</v>
      </c>
      <c r="E63" s="46">
        <v>3016</v>
      </c>
      <c r="F63" s="46">
        <v>60.32</v>
      </c>
      <c r="G63" s="46">
        <v>150.80000000000001</v>
      </c>
      <c r="H63" s="48">
        <v>30</v>
      </c>
      <c r="I63" s="46">
        <f>(E63+F63+G63)*H63/100</f>
        <v>968.13600000000008</v>
      </c>
      <c r="J63" s="48">
        <v>30</v>
      </c>
      <c r="K63" s="46">
        <f>(E63+F63+G63)*J63/100</f>
        <v>968.13600000000008</v>
      </c>
      <c r="L63" s="50">
        <v>31559.4</v>
      </c>
    </row>
    <row r="64" spans="1:14" ht="15" x14ac:dyDescent="0.2">
      <c r="A64" s="48" t="s">
        <v>299</v>
      </c>
      <c r="B64" s="49">
        <v>4</v>
      </c>
      <c r="C64" s="48"/>
      <c r="D64" s="46">
        <f>E64+F64+G64+I64+K64</f>
        <v>27008</v>
      </c>
      <c r="E64" s="46"/>
      <c r="F64" s="46"/>
      <c r="G64" s="46">
        <v>16880</v>
      </c>
      <c r="H64" s="48">
        <v>30</v>
      </c>
      <c r="I64" s="46">
        <f>(E64+F64+G64)*H64/100</f>
        <v>5064</v>
      </c>
      <c r="J64" s="48">
        <v>30</v>
      </c>
      <c r="K64" s="46">
        <f>(E64+F64+G64)*J64/100</f>
        <v>5064</v>
      </c>
      <c r="L64" s="50">
        <f>D64*12+0.06</f>
        <v>324096.06</v>
      </c>
    </row>
    <row r="65" spans="1:14" ht="19.5" customHeight="1" x14ac:dyDescent="0.2">
      <c r="A65" s="48" t="s">
        <v>133</v>
      </c>
      <c r="B65" s="49">
        <v>9000</v>
      </c>
      <c r="C65" s="49" t="s">
        <v>11</v>
      </c>
      <c r="D65" s="46">
        <f>SUM(D61:D64)</f>
        <v>44300.608</v>
      </c>
      <c r="E65" s="46">
        <f>SUM(E61:E64)</f>
        <v>9543</v>
      </c>
      <c r="F65" s="46">
        <f>SUM(F61:F64)</f>
        <v>261.08</v>
      </c>
      <c r="G65" s="46">
        <f>SUM(G61:G64)</f>
        <v>17883.8</v>
      </c>
      <c r="H65" s="46"/>
      <c r="I65" s="46">
        <f>SUM(I61:I64)</f>
        <v>8306.3639999999996</v>
      </c>
      <c r="J65" s="46"/>
      <c r="K65" s="46">
        <f>SUM(K61:K64)</f>
        <v>8306.3639999999996</v>
      </c>
      <c r="L65" s="241">
        <f>SUM(L61:L64)-324.64+180645.16+47411.6745</f>
        <v>782126.83049999992</v>
      </c>
      <c r="N65" s="36"/>
    </row>
    <row r="66" spans="1:14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400"/>
      <c r="K66" s="400"/>
      <c r="L66" s="400"/>
    </row>
    <row r="67" spans="1:14" ht="12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52"/>
      <c r="K67" s="52"/>
      <c r="L67" s="52"/>
    </row>
    <row r="68" spans="1:14" ht="12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52"/>
      <c r="K68" s="52"/>
      <c r="L68" s="52"/>
    </row>
    <row r="69" spans="1:14" ht="12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52"/>
      <c r="K69" s="52"/>
      <c r="L69" s="52"/>
    </row>
    <row r="70" spans="1:14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52"/>
      <c r="K70" s="52"/>
      <c r="L70" s="52"/>
    </row>
    <row r="71" spans="1:14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52"/>
      <c r="K71" s="52"/>
      <c r="L71" s="52"/>
    </row>
    <row r="72" spans="1:14" ht="12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52"/>
      <c r="K72" s="52"/>
      <c r="L72" s="52"/>
    </row>
    <row r="73" spans="1:14" ht="15" x14ac:dyDescent="0.25">
      <c r="A73" s="1" t="s">
        <v>304</v>
      </c>
      <c r="B73" s="1"/>
      <c r="C73" s="53">
        <v>75880</v>
      </c>
      <c r="D73" s="1"/>
      <c r="E73" s="1"/>
      <c r="F73" s="1"/>
      <c r="G73" s="1"/>
      <c r="H73" s="1"/>
      <c r="I73" s="1"/>
      <c r="J73" s="1"/>
      <c r="K73" s="1"/>
      <c r="L73" s="1"/>
    </row>
    <row r="74" spans="1:14" ht="12.75" customHeight="1" x14ac:dyDescent="0.2">
      <c r="A74" s="399" t="s">
        <v>179</v>
      </c>
      <c r="B74" s="399" t="s">
        <v>1</v>
      </c>
      <c r="C74" s="399" t="s">
        <v>180</v>
      </c>
      <c r="D74" s="399" t="s">
        <v>181</v>
      </c>
      <c r="E74" s="399"/>
      <c r="F74" s="399"/>
      <c r="G74" s="399"/>
      <c r="H74" s="399"/>
      <c r="I74" s="399"/>
      <c r="J74" s="399"/>
      <c r="K74" s="399"/>
      <c r="L74" s="399" t="s">
        <v>182</v>
      </c>
    </row>
    <row r="75" spans="1:14" ht="15" x14ac:dyDescent="0.2">
      <c r="A75" s="399"/>
      <c r="B75" s="399"/>
      <c r="C75" s="399"/>
      <c r="D75" s="399" t="s">
        <v>183</v>
      </c>
      <c r="E75" s="399" t="s">
        <v>14</v>
      </c>
      <c r="F75" s="399"/>
      <c r="G75" s="399"/>
      <c r="H75" s="399"/>
      <c r="I75" s="399"/>
      <c r="J75" s="399"/>
      <c r="K75" s="399"/>
      <c r="L75" s="399"/>
    </row>
    <row r="76" spans="1:14" ht="15" x14ac:dyDescent="0.2">
      <c r="A76" s="399"/>
      <c r="B76" s="399"/>
      <c r="C76" s="399"/>
      <c r="D76" s="399"/>
      <c r="E76" s="399" t="s">
        <v>184</v>
      </c>
      <c r="F76" s="399" t="s">
        <v>185</v>
      </c>
      <c r="G76" s="399" t="s">
        <v>186</v>
      </c>
      <c r="H76" s="399" t="s">
        <v>187</v>
      </c>
      <c r="I76" s="399"/>
      <c r="J76" s="399" t="s">
        <v>188</v>
      </c>
      <c r="K76" s="399"/>
      <c r="L76" s="399"/>
    </row>
    <row r="77" spans="1:14" ht="45" x14ac:dyDescent="0.2">
      <c r="A77" s="399"/>
      <c r="B77" s="399"/>
      <c r="C77" s="399"/>
      <c r="D77" s="399"/>
      <c r="E77" s="399"/>
      <c r="F77" s="399"/>
      <c r="G77" s="399"/>
      <c r="H77" s="49" t="s">
        <v>189</v>
      </c>
      <c r="I77" s="49" t="s">
        <v>190</v>
      </c>
      <c r="J77" s="49" t="s">
        <v>189</v>
      </c>
      <c r="K77" s="49" t="s">
        <v>191</v>
      </c>
      <c r="L77" s="399"/>
    </row>
    <row r="78" spans="1:14" ht="15" x14ac:dyDescent="0.2">
      <c r="A78" s="49">
        <v>1</v>
      </c>
      <c r="B78" s="49">
        <v>2</v>
      </c>
      <c r="C78" s="49">
        <v>3</v>
      </c>
      <c r="D78" s="49">
        <v>4</v>
      </c>
      <c r="E78" s="49">
        <v>5</v>
      </c>
      <c r="F78" s="49">
        <v>6</v>
      </c>
      <c r="G78" s="49">
        <v>7</v>
      </c>
      <c r="H78" s="49">
        <v>8</v>
      </c>
      <c r="I78" s="49">
        <v>9</v>
      </c>
      <c r="J78" s="49">
        <v>10</v>
      </c>
      <c r="K78" s="49">
        <v>11</v>
      </c>
      <c r="L78" s="49">
        <v>12</v>
      </c>
    </row>
    <row r="79" spans="1:14" ht="21" customHeight="1" x14ac:dyDescent="0.2">
      <c r="A79" s="48" t="s">
        <v>305</v>
      </c>
      <c r="B79" s="49">
        <v>1</v>
      </c>
      <c r="C79" s="48">
        <v>2</v>
      </c>
      <c r="D79" s="46">
        <f t="shared" ref="D79:D85" si="9">E79+F79+G79+I79+K79</f>
        <v>21129.599999999999</v>
      </c>
      <c r="E79" s="46">
        <v>6603</v>
      </c>
      <c r="F79" s="46"/>
      <c r="G79" s="46">
        <v>6603</v>
      </c>
      <c r="H79" s="48">
        <v>30</v>
      </c>
      <c r="I79" s="46">
        <f t="shared" ref="I79:I85" si="10">(E79+F79+G79)*H79/100</f>
        <v>3961.8</v>
      </c>
      <c r="J79" s="48">
        <v>30</v>
      </c>
      <c r="K79" s="46">
        <f t="shared" ref="K79:K85" si="11">(E79+F79+G79)*J79/100</f>
        <v>3961.8</v>
      </c>
      <c r="L79" s="46">
        <f t="shared" ref="L79:L84" si="12">C79*D79*12</f>
        <v>507110.39999999997</v>
      </c>
    </row>
    <row r="80" spans="1:14" ht="22.5" customHeight="1" x14ac:dyDescent="0.2">
      <c r="A80" s="48" t="s">
        <v>305</v>
      </c>
      <c r="B80" s="49">
        <f t="shared" ref="B80:B85" si="13">B79+1</f>
        <v>2</v>
      </c>
      <c r="C80" s="48">
        <v>2</v>
      </c>
      <c r="D80" s="46">
        <f t="shared" si="9"/>
        <v>22113.439999999999</v>
      </c>
      <c r="E80" s="46">
        <v>7521</v>
      </c>
      <c r="F80" s="46"/>
      <c r="G80" s="46">
        <f>6768.9-469</f>
        <v>6299.9</v>
      </c>
      <c r="H80" s="48">
        <v>30</v>
      </c>
      <c r="I80" s="46">
        <f t="shared" si="10"/>
        <v>4146.2700000000004</v>
      </c>
      <c r="J80" s="48">
        <v>30</v>
      </c>
      <c r="K80" s="46">
        <f t="shared" si="11"/>
        <v>4146.2700000000004</v>
      </c>
      <c r="L80" s="46">
        <f t="shared" si="12"/>
        <v>530722.55999999994</v>
      </c>
    </row>
    <row r="81" spans="1:14" ht="32.25" customHeight="1" x14ac:dyDescent="0.2">
      <c r="A81" s="48" t="s">
        <v>306</v>
      </c>
      <c r="B81" s="49">
        <f t="shared" si="13"/>
        <v>3</v>
      </c>
      <c r="C81" s="48">
        <v>0.5</v>
      </c>
      <c r="D81" s="46">
        <f t="shared" si="9"/>
        <v>12789.76</v>
      </c>
      <c r="E81" s="46">
        <v>6556</v>
      </c>
      <c r="F81" s="46"/>
      <c r="G81" s="46">
        <f>3471.6-2034</f>
        <v>1437.6</v>
      </c>
      <c r="H81" s="48">
        <v>30</v>
      </c>
      <c r="I81" s="46">
        <f t="shared" si="10"/>
        <v>2398.08</v>
      </c>
      <c r="J81" s="48">
        <v>30</v>
      </c>
      <c r="K81" s="46">
        <f t="shared" si="11"/>
        <v>2398.08</v>
      </c>
      <c r="L81" s="50">
        <f t="shared" si="12"/>
        <v>76738.559999999998</v>
      </c>
    </row>
    <row r="82" spans="1:14" ht="32.25" customHeight="1" x14ac:dyDescent="0.2">
      <c r="A82" s="48" t="s">
        <v>307</v>
      </c>
      <c r="B82" s="49">
        <f t="shared" si="13"/>
        <v>4</v>
      </c>
      <c r="C82" s="48">
        <v>0.5</v>
      </c>
      <c r="D82" s="46">
        <f t="shared" si="9"/>
        <v>12804</v>
      </c>
      <c r="E82" s="46">
        <v>6556</v>
      </c>
      <c r="F82" s="46"/>
      <c r="G82" s="46">
        <v>1446.5</v>
      </c>
      <c r="H82" s="48">
        <v>30</v>
      </c>
      <c r="I82" s="46">
        <f t="shared" si="10"/>
        <v>2400.75</v>
      </c>
      <c r="J82" s="48">
        <v>30</v>
      </c>
      <c r="K82" s="46">
        <f t="shared" si="11"/>
        <v>2400.75</v>
      </c>
      <c r="L82" s="50">
        <f t="shared" si="12"/>
        <v>76824</v>
      </c>
    </row>
    <row r="83" spans="1:14" ht="15" x14ac:dyDescent="0.2">
      <c r="A83" s="48" t="s">
        <v>308</v>
      </c>
      <c r="B83" s="49">
        <f t="shared" si="13"/>
        <v>5</v>
      </c>
      <c r="C83" s="48">
        <v>0.5</v>
      </c>
      <c r="D83" s="46">
        <f t="shared" si="9"/>
        <v>18113.439999999999</v>
      </c>
      <c r="E83" s="46">
        <v>8234</v>
      </c>
      <c r="F83" s="46"/>
      <c r="G83" s="46">
        <f>5086.9-2000</f>
        <v>3086.8999999999996</v>
      </c>
      <c r="H83" s="48">
        <v>30</v>
      </c>
      <c r="I83" s="46">
        <f t="shared" si="10"/>
        <v>3396.27</v>
      </c>
      <c r="J83" s="48">
        <v>30</v>
      </c>
      <c r="K83" s="46">
        <f t="shared" si="11"/>
        <v>3396.27</v>
      </c>
      <c r="L83" s="50">
        <f t="shared" si="12"/>
        <v>108680.63999999998</v>
      </c>
    </row>
    <row r="84" spans="1:14" ht="18" customHeight="1" x14ac:dyDescent="0.2">
      <c r="A84" s="48" t="s">
        <v>419</v>
      </c>
      <c r="B84" s="49">
        <f t="shared" si="13"/>
        <v>6</v>
      </c>
      <c r="C84" s="48">
        <v>0.33</v>
      </c>
      <c r="D84" s="46">
        <f t="shared" si="9"/>
        <v>13088.8</v>
      </c>
      <c r="E84" s="46">
        <v>7521</v>
      </c>
      <c r="F84" s="46"/>
      <c r="G84" s="46">
        <f>1659.5-1000</f>
        <v>659.5</v>
      </c>
      <c r="H84" s="48">
        <v>30</v>
      </c>
      <c r="I84" s="46">
        <f t="shared" si="10"/>
        <v>2454.15</v>
      </c>
      <c r="J84" s="48">
        <v>30</v>
      </c>
      <c r="K84" s="46">
        <f t="shared" si="11"/>
        <v>2454.15</v>
      </c>
      <c r="L84" s="50">
        <f t="shared" si="12"/>
        <v>51831.648000000001</v>
      </c>
    </row>
    <row r="85" spans="1:14" ht="30" x14ac:dyDescent="0.2">
      <c r="A85" s="48" t="s">
        <v>309</v>
      </c>
      <c r="B85" s="49">
        <f t="shared" si="13"/>
        <v>7</v>
      </c>
      <c r="C85" s="48"/>
      <c r="D85" s="46">
        <f t="shared" si="9"/>
        <v>15040</v>
      </c>
      <c r="E85" s="46"/>
      <c r="F85" s="46"/>
      <c r="G85" s="46">
        <v>9400</v>
      </c>
      <c r="H85" s="48">
        <v>30</v>
      </c>
      <c r="I85" s="46">
        <f t="shared" si="10"/>
        <v>2820</v>
      </c>
      <c r="J85" s="48">
        <v>30</v>
      </c>
      <c r="K85" s="46">
        <f t="shared" si="11"/>
        <v>2820</v>
      </c>
      <c r="L85" s="46">
        <f>D85*12-0.07</f>
        <v>180479.93</v>
      </c>
    </row>
    <row r="86" spans="1:14" ht="20.25" customHeight="1" x14ac:dyDescent="0.2">
      <c r="A86" s="48" t="s">
        <v>133</v>
      </c>
      <c r="B86" s="49">
        <v>9000</v>
      </c>
      <c r="C86" s="49" t="s">
        <v>11</v>
      </c>
      <c r="D86" s="46">
        <f>SUM(D79:D85)</f>
        <v>115079.03999999999</v>
      </c>
      <c r="E86" s="46">
        <f>SUM(E79:E85)</f>
        <v>42991</v>
      </c>
      <c r="F86" s="46">
        <f>SUM(F79:F85)</f>
        <v>0</v>
      </c>
      <c r="G86" s="46">
        <f>SUM(G79:G85)</f>
        <v>28933.4</v>
      </c>
      <c r="H86" s="46"/>
      <c r="I86" s="46">
        <f>SUM(I79:I85)</f>
        <v>21577.320000000003</v>
      </c>
      <c r="J86" s="46"/>
      <c r="K86" s="46">
        <f>SUM(K79:K85)</f>
        <v>21577.320000000003</v>
      </c>
      <c r="L86" s="241">
        <f>SUM(L79:L85)+0.89</f>
        <v>1532388.6279999998</v>
      </c>
      <c r="N86" s="36"/>
    </row>
    <row r="87" spans="1:14" ht="1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4" ht="15" x14ac:dyDescent="0.25">
      <c r="A88" s="1" t="s">
        <v>310</v>
      </c>
      <c r="B88" s="1"/>
      <c r="C88" s="53">
        <v>74080</v>
      </c>
      <c r="D88" s="1"/>
      <c r="E88" s="1"/>
      <c r="F88" s="1"/>
      <c r="G88" s="1"/>
      <c r="H88" s="1"/>
      <c r="I88" s="1"/>
      <c r="J88" s="1"/>
      <c r="K88" s="1"/>
      <c r="L88" s="1"/>
    </row>
    <row r="89" spans="1:14" ht="15" x14ac:dyDescent="0.2">
      <c r="A89" s="399" t="s">
        <v>179</v>
      </c>
      <c r="B89" s="399" t="s">
        <v>1</v>
      </c>
      <c r="C89" s="399" t="s">
        <v>180</v>
      </c>
      <c r="D89" s="399" t="s">
        <v>181</v>
      </c>
      <c r="E89" s="399"/>
      <c r="F89" s="399"/>
      <c r="G89" s="399"/>
      <c r="H89" s="399"/>
      <c r="I89" s="399"/>
      <c r="J89" s="399"/>
      <c r="K89" s="399"/>
      <c r="L89" s="399" t="s">
        <v>182</v>
      </c>
    </row>
    <row r="90" spans="1:14" ht="15" x14ac:dyDescent="0.2">
      <c r="A90" s="399"/>
      <c r="B90" s="399"/>
      <c r="C90" s="399"/>
      <c r="D90" s="399" t="s">
        <v>183</v>
      </c>
      <c r="E90" s="399" t="s">
        <v>14</v>
      </c>
      <c r="F90" s="399"/>
      <c r="G90" s="399"/>
      <c r="H90" s="399"/>
      <c r="I90" s="399"/>
      <c r="J90" s="399"/>
      <c r="K90" s="399"/>
      <c r="L90" s="399"/>
    </row>
    <row r="91" spans="1:14" ht="15" x14ac:dyDescent="0.2">
      <c r="A91" s="399"/>
      <c r="B91" s="399"/>
      <c r="C91" s="399"/>
      <c r="D91" s="399"/>
      <c r="E91" s="399" t="s">
        <v>184</v>
      </c>
      <c r="F91" s="399" t="s">
        <v>185</v>
      </c>
      <c r="G91" s="399" t="s">
        <v>186</v>
      </c>
      <c r="H91" s="399" t="s">
        <v>187</v>
      </c>
      <c r="I91" s="399"/>
      <c r="J91" s="399" t="s">
        <v>188</v>
      </c>
      <c r="K91" s="399"/>
      <c r="L91" s="399"/>
    </row>
    <row r="92" spans="1:14" ht="45" x14ac:dyDescent="0.2">
      <c r="A92" s="399"/>
      <c r="B92" s="399"/>
      <c r="C92" s="399"/>
      <c r="D92" s="399"/>
      <c r="E92" s="399"/>
      <c r="F92" s="399"/>
      <c r="G92" s="399"/>
      <c r="H92" s="49" t="s">
        <v>189</v>
      </c>
      <c r="I92" s="49" t="s">
        <v>190</v>
      </c>
      <c r="J92" s="49" t="s">
        <v>189</v>
      </c>
      <c r="K92" s="49" t="s">
        <v>191</v>
      </c>
      <c r="L92" s="399"/>
    </row>
    <row r="93" spans="1:14" ht="15" x14ac:dyDescent="0.2">
      <c r="A93" s="49">
        <v>1</v>
      </c>
      <c r="B93" s="49">
        <v>2</v>
      </c>
      <c r="C93" s="49">
        <v>3</v>
      </c>
      <c r="D93" s="49">
        <v>4</v>
      </c>
      <c r="E93" s="49">
        <v>5</v>
      </c>
      <c r="F93" s="49">
        <v>6</v>
      </c>
      <c r="G93" s="49">
        <v>7</v>
      </c>
      <c r="H93" s="49">
        <v>8</v>
      </c>
      <c r="I93" s="49">
        <v>9</v>
      </c>
      <c r="J93" s="49">
        <v>10</v>
      </c>
      <c r="K93" s="49">
        <v>11</v>
      </c>
      <c r="L93" s="49">
        <v>12</v>
      </c>
    </row>
    <row r="94" spans="1:14" ht="15" x14ac:dyDescent="0.2">
      <c r="A94" s="48" t="s">
        <v>311</v>
      </c>
      <c r="B94" s="49">
        <v>1</v>
      </c>
      <c r="C94" s="48">
        <v>3</v>
      </c>
      <c r="D94" s="46">
        <f>E94+F94+G94+I94+K94</f>
        <v>11716.96</v>
      </c>
      <c r="E94" s="46">
        <v>3964</v>
      </c>
      <c r="F94" s="46">
        <v>2309.4</v>
      </c>
      <c r="G94" s="46">
        <v>1049.7</v>
      </c>
      <c r="H94" s="48">
        <v>30</v>
      </c>
      <c r="I94" s="46">
        <f>(E94+F94+G94)*H94/100</f>
        <v>2196.9299999999998</v>
      </c>
      <c r="J94" s="48">
        <v>30</v>
      </c>
      <c r="K94" s="46">
        <f>(E94+F94+G94)*J94/100</f>
        <v>2196.9299999999998</v>
      </c>
      <c r="L94" s="46">
        <f>C94*D94*12</f>
        <v>421810.55999999994</v>
      </c>
    </row>
    <row r="95" spans="1:14" ht="15" x14ac:dyDescent="0.2">
      <c r="A95" s="48" t="s">
        <v>312</v>
      </c>
      <c r="B95" s="49">
        <f>B94+1</f>
        <v>2</v>
      </c>
      <c r="C95" s="48">
        <v>1</v>
      </c>
      <c r="D95" s="46">
        <f>E95+F95+G95+I95+K95</f>
        <v>6851.2000000000007</v>
      </c>
      <c r="E95" s="46">
        <v>4282</v>
      </c>
      <c r="F95" s="46"/>
      <c r="G95" s="46"/>
      <c r="H95" s="48">
        <v>30</v>
      </c>
      <c r="I95" s="46">
        <f>(E95+F95+G95)*H95/100</f>
        <v>1284.5999999999999</v>
      </c>
      <c r="J95" s="48">
        <v>30</v>
      </c>
      <c r="K95" s="46">
        <f>(E95+F95+G95)*J95/100</f>
        <v>1284.5999999999999</v>
      </c>
      <c r="L95" s="50">
        <f>C95*D95*12</f>
        <v>82214.400000000009</v>
      </c>
    </row>
    <row r="96" spans="1:14" ht="17.25" customHeight="1" x14ac:dyDescent="0.2">
      <c r="A96" s="48" t="s">
        <v>293</v>
      </c>
      <c r="B96" s="49">
        <f>B95+1</f>
        <v>3</v>
      </c>
      <c r="C96" s="48">
        <v>1</v>
      </c>
      <c r="D96" s="46">
        <f>E96+F96+G96+I96+K96</f>
        <v>26734.959999999999</v>
      </c>
      <c r="E96" s="46">
        <v>16008</v>
      </c>
      <c r="F96" s="46"/>
      <c r="G96" s="46">
        <v>701.35</v>
      </c>
      <c r="H96" s="48">
        <v>30</v>
      </c>
      <c r="I96" s="46">
        <f>(E96+F96+G96)*H96/100</f>
        <v>5012.8049999999994</v>
      </c>
      <c r="J96" s="48">
        <v>30</v>
      </c>
      <c r="K96" s="46">
        <f>(E96+F96+G96)*J96/100</f>
        <v>5012.8049999999994</v>
      </c>
      <c r="L96" s="50">
        <f>C96*D96*12</f>
        <v>320819.52</v>
      </c>
    </row>
    <row r="97" spans="1:14" ht="19.5" customHeight="1" x14ac:dyDescent="0.2">
      <c r="A97" s="48" t="s">
        <v>314</v>
      </c>
      <c r="B97" s="49">
        <v>4</v>
      </c>
      <c r="C97" s="48"/>
      <c r="D97" s="46">
        <f>E97+F97+G97+I97+K97</f>
        <v>0</v>
      </c>
      <c r="E97" s="46"/>
      <c r="F97" s="46"/>
      <c r="G97" s="46">
        <v>0</v>
      </c>
      <c r="H97" s="48">
        <v>30</v>
      </c>
      <c r="I97" s="46">
        <f>(E97+F97+G97)*H97/100</f>
        <v>0</v>
      </c>
      <c r="J97" s="48">
        <v>30</v>
      </c>
      <c r="K97" s="46">
        <f>(E97+F97+G97)*J97/100</f>
        <v>0</v>
      </c>
      <c r="L97" s="46">
        <f>D97*12</f>
        <v>0</v>
      </c>
    </row>
    <row r="98" spans="1:14" ht="18" customHeight="1" x14ac:dyDescent="0.2">
      <c r="A98" s="48" t="s">
        <v>299</v>
      </c>
      <c r="B98" s="49">
        <f>B97+1</f>
        <v>5</v>
      </c>
      <c r="C98" s="48"/>
      <c r="D98" s="46">
        <f>E98+F98+G98+I98+K98</f>
        <v>37032</v>
      </c>
      <c r="E98" s="46"/>
      <c r="F98" s="46"/>
      <c r="G98" s="46">
        <v>23145</v>
      </c>
      <c r="H98" s="48">
        <v>30</v>
      </c>
      <c r="I98" s="46">
        <f>(E98+F98+G98)*H98/100</f>
        <v>6943.5</v>
      </c>
      <c r="J98" s="48">
        <v>30</v>
      </c>
      <c r="K98" s="46">
        <f>(E98+F98+G98)*J98/100</f>
        <v>6943.5</v>
      </c>
      <c r="L98" s="46">
        <f>D98*12+3.78</f>
        <v>444387.78</v>
      </c>
    </row>
    <row r="99" spans="1:14" ht="18.75" customHeight="1" x14ac:dyDescent="0.2">
      <c r="A99" s="48" t="s">
        <v>133</v>
      </c>
      <c r="B99" s="49">
        <v>9000</v>
      </c>
      <c r="C99" s="49" t="s">
        <v>11</v>
      </c>
      <c r="D99" s="46">
        <f>SUM(D94:D98)</f>
        <v>82335.12</v>
      </c>
      <c r="E99" s="46">
        <f>SUM(E94:E98)</f>
        <v>24254</v>
      </c>
      <c r="F99" s="46">
        <f>SUM(F94:F98)</f>
        <v>2309.4</v>
      </c>
      <c r="G99" s="46">
        <f>SUM(G94:G98)</f>
        <v>24896.05</v>
      </c>
      <c r="H99" s="46"/>
      <c r="I99" s="46">
        <f>SUM(I94:I98)</f>
        <v>15437.834999999999</v>
      </c>
      <c r="J99" s="46"/>
      <c r="K99" s="46">
        <f>SUM(K94:K98)</f>
        <v>15437.834999999999</v>
      </c>
      <c r="L99" s="241">
        <f>SUM(L94:L98)+7.74</f>
        <v>1269240</v>
      </c>
      <c r="N99" s="36"/>
    </row>
    <row r="100" spans="1:14" ht="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4" ht="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4" ht="15" x14ac:dyDescent="0.25">
      <c r="A102" s="132" t="s">
        <v>343</v>
      </c>
      <c r="B102" s="1"/>
      <c r="C102" s="1"/>
      <c r="D102" s="1"/>
      <c r="E102" s="1"/>
      <c r="F102" s="132" t="s">
        <v>557</v>
      </c>
      <c r="G102" s="132"/>
      <c r="H102" s="132"/>
      <c r="I102" s="1"/>
      <c r="J102" s="1"/>
      <c r="K102" s="1"/>
      <c r="L102" s="1"/>
    </row>
    <row r="103" spans="1:14" ht="89.25" customHeight="1" x14ac:dyDescent="0.25">
      <c r="A103" s="49" t="s">
        <v>344</v>
      </c>
      <c r="B103" s="49" t="s">
        <v>1</v>
      </c>
      <c r="C103" s="49" t="s">
        <v>345</v>
      </c>
      <c r="D103" s="49" t="s">
        <v>346</v>
      </c>
      <c r="E103" s="1"/>
      <c r="F103" s="174" t="s">
        <v>485</v>
      </c>
      <c r="G103" s="57" t="s">
        <v>215</v>
      </c>
      <c r="H103" s="57" t="s">
        <v>558</v>
      </c>
      <c r="I103" s="57" t="s">
        <v>487</v>
      </c>
      <c r="J103" s="57" t="s">
        <v>488</v>
      </c>
      <c r="K103" s="174" t="s">
        <v>72</v>
      </c>
      <c r="L103" s="1"/>
    </row>
    <row r="104" spans="1:14" ht="47.25" customHeight="1" x14ac:dyDescent="0.25">
      <c r="A104" s="48" t="s">
        <v>553</v>
      </c>
      <c r="B104" s="48">
        <v>1</v>
      </c>
      <c r="C104" s="54">
        <v>5760.36</v>
      </c>
      <c r="D104" s="55">
        <f>C104*9</f>
        <v>51843.24</v>
      </c>
      <c r="E104" s="1"/>
      <c r="F104" s="175">
        <v>1</v>
      </c>
      <c r="G104" s="170" t="s">
        <v>559</v>
      </c>
      <c r="H104" s="175">
        <v>1</v>
      </c>
      <c r="I104" s="175">
        <v>1</v>
      </c>
      <c r="J104" s="176">
        <v>5179.72</v>
      </c>
      <c r="K104" s="177">
        <f>J104</f>
        <v>5179.72</v>
      </c>
      <c r="L104" s="1"/>
      <c r="M104" s="36"/>
    </row>
    <row r="105" spans="1:14" ht="30" x14ac:dyDescent="0.25">
      <c r="A105" s="48" t="s">
        <v>551</v>
      </c>
      <c r="B105" s="48">
        <v>2</v>
      </c>
      <c r="C105" s="54">
        <v>11520.74</v>
      </c>
      <c r="D105" s="55">
        <f t="shared" ref="D105:D116" si="14">C105*9</f>
        <v>103686.66</v>
      </c>
      <c r="E105" s="1"/>
      <c r="F105" s="56"/>
      <c r="G105" s="56"/>
      <c r="H105" s="56"/>
      <c r="I105" s="56"/>
      <c r="J105" s="56"/>
      <c r="K105" s="56"/>
      <c r="L105" s="1"/>
    </row>
    <row r="106" spans="1:14" ht="33" customHeight="1" x14ac:dyDescent="0.25">
      <c r="A106" s="48" t="s">
        <v>587</v>
      </c>
      <c r="B106" s="48">
        <v>3</v>
      </c>
      <c r="C106" s="54">
        <v>5760.36</v>
      </c>
      <c r="D106" s="55">
        <f t="shared" si="14"/>
        <v>51843.24</v>
      </c>
      <c r="E106" s="1"/>
      <c r="F106" s="56"/>
      <c r="G106" s="171"/>
      <c r="H106" s="56"/>
      <c r="I106" s="56"/>
      <c r="J106" s="56"/>
      <c r="K106" s="56"/>
      <c r="L106" s="1"/>
    </row>
    <row r="107" spans="1:14" ht="15" x14ac:dyDescent="0.25">
      <c r="A107" s="48" t="s">
        <v>554</v>
      </c>
      <c r="B107" s="35">
        <v>4</v>
      </c>
      <c r="C107" s="54">
        <v>8640.5499999999993</v>
      </c>
      <c r="D107" s="55">
        <f t="shared" si="14"/>
        <v>77764.95</v>
      </c>
      <c r="E107" s="1"/>
      <c r="F107" s="56"/>
      <c r="G107" s="139"/>
      <c r="H107" s="172"/>
      <c r="I107" s="173"/>
      <c r="J107" s="140"/>
      <c r="K107" s="141"/>
      <c r="L107" s="1"/>
    </row>
    <row r="108" spans="1:14" ht="24.75" customHeight="1" x14ac:dyDescent="0.25">
      <c r="A108" s="48" t="s">
        <v>588</v>
      </c>
      <c r="B108" s="35">
        <v>5</v>
      </c>
      <c r="C108" s="54">
        <v>11059.9</v>
      </c>
      <c r="D108" s="55">
        <f t="shared" si="14"/>
        <v>99539.099999999991</v>
      </c>
      <c r="E108" s="1"/>
      <c r="F108" s="132" t="s">
        <v>572</v>
      </c>
      <c r="G108" s="132"/>
      <c r="H108" s="1"/>
      <c r="I108" s="1"/>
      <c r="J108" s="1"/>
      <c r="K108" s="1"/>
      <c r="L108" s="1"/>
    </row>
    <row r="109" spans="1:14" ht="47.25" customHeight="1" x14ac:dyDescent="0.25">
      <c r="A109" s="48" t="s">
        <v>552</v>
      </c>
      <c r="B109" s="35">
        <v>6</v>
      </c>
      <c r="C109" s="54">
        <v>5760.36</v>
      </c>
      <c r="D109" s="55">
        <f t="shared" si="14"/>
        <v>51843.24</v>
      </c>
      <c r="E109" s="1"/>
      <c r="F109" s="174" t="s">
        <v>485</v>
      </c>
      <c r="G109" s="57" t="s">
        <v>215</v>
      </c>
      <c r="H109" s="57" t="s">
        <v>558</v>
      </c>
      <c r="I109" s="57" t="s">
        <v>487</v>
      </c>
      <c r="J109" s="228" t="s">
        <v>488</v>
      </c>
      <c r="K109" s="174" t="s">
        <v>72</v>
      </c>
      <c r="L109" s="58">
        <f>L18+L30+L52+L65+L86+L99+K107+K110+0.01</f>
        <v>29743911.801300008</v>
      </c>
      <c r="N109" s="3">
        <v>4</v>
      </c>
    </row>
    <row r="110" spans="1:14" ht="30" customHeight="1" x14ac:dyDescent="0.25">
      <c r="A110" s="48" t="s">
        <v>589</v>
      </c>
      <c r="B110" s="35">
        <v>7</v>
      </c>
      <c r="C110" s="54">
        <v>4608.29</v>
      </c>
      <c r="D110" s="55">
        <f t="shared" si="14"/>
        <v>41474.61</v>
      </c>
      <c r="E110" s="1"/>
      <c r="F110" s="174">
        <v>1</v>
      </c>
      <c r="G110" s="57" t="s">
        <v>571</v>
      </c>
      <c r="H110" s="175">
        <v>38</v>
      </c>
      <c r="I110" s="175">
        <v>401</v>
      </c>
      <c r="J110" s="245">
        <v>7500</v>
      </c>
      <c r="K110" s="244">
        <v>3501758.83</v>
      </c>
      <c r="L110" s="58">
        <f>D117</f>
        <v>832257.45999999985</v>
      </c>
      <c r="N110" s="3">
        <v>2</v>
      </c>
    </row>
    <row r="111" spans="1:14" ht="20.25" customHeight="1" x14ac:dyDescent="0.25">
      <c r="A111" s="48" t="s">
        <v>555</v>
      </c>
      <c r="B111" s="35">
        <v>8</v>
      </c>
      <c r="C111" s="54">
        <v>4608.29</v>
      </c>
      <c r="D111" s="55">
        <f t="shared" si="14"/>
        <v>41474.61</v>
      </c>
      <c r="E111" s="1"/>
      <c r="F111" s="1"/>
      <c r="G111" s="1"/>
      <c r="H111" s="1"/>
      <c r="I111" s="1"/>
      <c r="J111" s="1"/>
      <c r="K111" s="1"/>
      <c r="L111" s="65">
        <f>K104</f>
        <v>5179.72</v>
      </c>
      <c r="N111" s="3">
        <v>5</v>
      </c>
    </row>
    <row r="112" spans="1:14" ht="20.25" customHeight="1" x14ac:dyDescent="0.25">
      <c r="A112" s="48" t="s">
        <v>591</v>
      </c>
      <c r="B112" s="35">
        <v>9</v>
      </c>
      <c r="C112" s="54">
        <v>8640.5499999999993</v>
      </c>
      <c r="D112" s="55">
        <f t="shared" si="14"/>
        <v>77764.95</v>
      </c>
      <c r="E112" s="1"/>
      <c r="F112" s="1"/>
      <c r="G112" s="1"/>
      <c r="H112" s="1"/>
      <c r="I112" s="1"/>
      <c r="J112" s="1"/>
      <c r="K112" s="1"/>
      <c r="L112" s="65"/>
    </row>
    <row r="113" spans="1:12" ht="30" customHeight="1" x14ac:dyDescent="0.25">
      <c r="A113" s="48" t="s">
        <v>590</v>
      </c>
      <c r="B113" s="35">
        <v>10</v>
      </c>
      <c r="C113" s="54">
        <v>5760.36</v>
      </c>
      <c r="D113" s="55">
        <f t="shared" si="14"/>
        <v>51843.24</v>
      </c>
      <c r="E113" s="1"/>
      <c r="F113" s="1"/>
      <c r="G113" s="1"/>
      <c r="H113" s="1"/>
      <c r="I113" s="1"/>
      <c r="J113" s="1"/>
      <c r="K113" s="1"/>
      <c r="L113" s="65"/>
    </row>
    <row r="114" spans="1:12" ht="22.5" customHeight="1" x14ac:dyDescent="0.25">
      <c r="A114" s="48" t="s">
        <v>592</v>
      </c>
      <c r="B114" s="35">
        <v>11</v>
      </c>
      <c r="C114" s="54">
        <v>7680.49</v>
      </c>
      <c r="D114" s="55">
        <f t="shared" si="14"/>
        <v>69124.41</v>
      </c>
      <c r="E114" s="1"/>
      <c r="F114" s="1"/>
      <c r="G114" s="1"/>
      <c r="H114" s="1"/>
      <c r="I114" s="1"/>
      <c r="J114" s="1"/>
      <c r="K114" s="1"/>
      <c r="L114" s="65"/>
    </row>
    <row r="115" spans="1:12" ht="22.5" customHeight="1" x14ac:dyDescent="0.25">
      <c r="A115" s="48" t="s">
        <v>593</v>
      </c>
      <c r="B115" s="35">
        <v>12</v>
      </c>
      <c r="C115" s="54">
        <v>5760.36</v>
      </c>
      <c r="D115" s="55">
        <f t="shared" si="14"/>
        <v>51843.24</v>
      </c>
      <c r="E115" s="1"/>
      <c r="F115" s="1"/>
      <c r="G115" s="1"/>
      <c r="H115" s="1"/>
      <c r="I115" s="1"/>
      <c r="J115" s="1"/>
      <c r="K115" s="1"/>
      <c r="L115" s="65"/>
    </row>
    <row r="116" spans="1:12" ht="22.5" customHeight="1" x14ac:dyDescent="0.25">
      <c r="A116" s="48" t="s">
        <v>594</v>
      </c>
      <c r="B116" s="35">
        <v>13</v>
      </c>
      <c r="C116" s="54">
        <v>6912.44</v>
      </c>
      <c r="D116" s="55">
        <f t="shared" si="14"/>
        <v>62211.96</v>
      </c>
      <c r="E116" s="1"/>
      <c r="F116" s="1"/>
      <c r="G116" s="1"/>
      <c r="H116" s="1"/>
      <c r="I116" s="1"/>
      <c r="J116" s="1"/>
      <c r="K116" s="1"/>
      <c r="L116" s="65"/>
    </row>
    <row r="117" spans="1:12" ht="27" customHeight="1" x14ac:dyDescent="0.25">
      <c r="A117" s="35" t="s">
        <v>347</v>
      </c>
      <c r="B117" s="35"/>
      <c r="C117" s="54"/>
      <c r="D117" s="165">
        <f>SUM(D104:D116)+0.01</f>
        <v>832257.45999999985</v>
      </c>
      <c r="E117" s="59"/>
      <c r="F117" s="1"/>
      <c r="G117" s="1"/>
      <c r="H117" s="1"/>
      <c r="I117" s="1"/>
      <c r="J117" s="1"/>
      <c r="K117" s="1"/>
      <c r="L117" s="65">
        <f>L109+L110+L111</f>
        <v>30581348.981300008</v>
      </c>
    </row>
    <row r="118" spans="1:12" ht="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</sheetData>
  <mergeCells count="74">
    <mergeCell ref="D4:D6"/>
    <mergeCell ref="E4:K4"/>
    <mergeCell ref="J23:K23"/>
    <mergeCell ref="E22:K22"/>
    <mergeCell ref="A1:L1"/>
    <mergeCell ref="A21:A24"/>
    <mergeCell ref="B21:B24"/>
    <mergeCell ref="C21:C24"/>
    <mergeCell ref="D21:K21"/>
    <mergeCell ref="L21:L24"/>
    <mergeCell ref="D22:D24"/>
    <mergeCell ref="L3:L6"/>
    <mergeCell ref="A3:A6"/>
    <mergeCell ref="D3:K3"/>
    <mergeCell ref="H5:I5"/>
    <mergeCell ref="J5:K5"/>
    <mergeCell ref="A34:A37"/>
    <mergeCell ref="B34:B37"/>
    <mergeCell ref="C34:C37"/>
    <mergeCell ref="B3:B6"/>
    <mergeCell ref="C3:C6"/>
    <mergeCell ref="F5:F6"/>
    <mergeCell ref="G5:G6"/>
    <mergeCell ref="E23:E24"/>
    <mergeCell ref="F23:F24"/>
    <mergeCell ref="E5:E6"/>
    <mergeCell ref="G23:G24"/>
    <mergeCell ref="E58:E59"/>
    <mergeCell ref="F58:F59"/>
    <mergeCell ref="H23:I23"/>
    <mergeCell ref="J58:K58"/>
    <mergeCell ref="L34:L37"/>
    <mergeCell ref="G58:G59"/>
    <mergeCell ref="H58:I58"/>
    <mergeCell ref="D34:K34"/>
    <mergeCell ref="D35:D37"/>
    <mergeCell ref="E35:K35"/>
    <mergeCell ref="E36:E37"/>
    <mergeCell ref="F36:F37"/>
    <mergeCell ref="G36:G37"/>
    <mergeCell ref="H36:I36"/>
    <mergeCell ref="J36:K36"/>
    <mergeCell ref="H91:I91"/>
    <mergeCell ref="J91:K91"/>
    <mergeCell ref="A56:A59"/>
    <mergeCell ref="B56:B59"/>
    <mergeCell ref="C56:C59"/>
    <mergeCell ref="D56:K56"/>
    <mergeCell ref="A74:A77"/>
    <mergeCell ref="B74:B77"/>
    <mergeCell ref="C74:C77"/>
    <mergeCell ref="D74:K74"/>
    <mergeCell ref="H76:I76"/>
    <mergeCell ref="J76:K76"/>
    <mergeCell ref="J66:L66"/>
    <mergeCell ref="L56:L59"/>
    <mergeCell ref="D57:D59"/>
    <mergeCell ref="E57:K57"/>
    <mergeCell ref="A89:A92"/>
    <mergeCell ref="B89:B92"/>
    <mergeCell ref="C89:C92"/>
    <mergeCell ref="D89:K89"/>
    <mergeCell ref="L74:L77"/>
    <mergeCell ref="D75:D77"/>
    <mergeCell ref="E75:K75"/>
    <mergeCell ref="E76:E77"/>
    <mergeCell ref="F76:F77"/>
    <mergeCell ref="G76:G77"/>
    <mergeCell ref="L89:L92"/>
    <mergeCell ref="D90:D92"/>
    <mergeCell ref="E90:K90"/>
    <mergeCell ref="E91:E92"/>
    <mergeCell ref="F91:F92"/>
    <mergeCell ref="G91:G9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rowBreaks count="3" manualBreakCount="3">
    <brk id="32" max="16383" man="1"/>
    <brk id="72" max="16383" man="1"/>
    <brk id="101" max="16383" man="1"/>
  </rowBreaks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117"/>
  <sheetViews>
    <sheetView topLeftCell="A100" workbookViewId="0">
      <selection activeCell="L19" sqref="L19"/>
    </sheetView>
  </sheetViews>
  <sheetFormatPr defaultRowHeight="12.75" x14ac:dyDescent="0.2"/>
  <cols>
    <col min="1" max="1" width="21.42578125" style="3" customWidth="1"/>
    <col min="2" max="2" width="9.140625" style="3"/>
    <col min="3" max="3" width="10.5703125" style="3" customWidth="1"/>
    <col min="4" max="4" width="14.28515625" style="3" customWidth="1"/>
    <col min="5" max="5" width="10.5703125" style="3" customWidth="1"/>
    <col min="6" max="6" width="13.28515625" style="3" customWidth="1"/>
    <col min="7" max="7" width="13.7109375" style="3" customWidth="1"/>
    <col min="8" max="8" width="13.85546875" style="3" customWidth="1"/>
    <col min="9" max="9" width="13.140625" style="3" customWidth="1"/>
    <col min="10" max="10" width="14.7109375" style="3" customWidth="1"/>
    <col min="11" max="11" width="15" style="3" customWidth="1"/>
    <col min="12" max="12" width="15.28515625" style="3" customWidth="1"/>
    <col min="13" max="13" width="9.140625" style="3"/>
    <col min="14" max="14" width="15.140625" style="3" customWidth="1"/>
    <col min="15" max="16384" width="9.140625" style="3"/>
  </cols>
  <sheetData>
    <row r="1" spans="1:14" ht="21" customHeight="1" x14ac:dyDescent="0.25">
      <c r="A1" s="1" t="s">
        <v>585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0.25" customHeight="1" x14ac:dyDescent="0.25">
      <c r="A2" s="1" t="s">
        <v>427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2.75" customHeight="1" x14ac:dyDescent="0.2">
      <c r="A3" s="399" t="s">
        <v>179</v>
      </c>
      <c r="B3" s="399" t="s">
        <v>1</v>
      </c>
      <c r="C3" s="399" t="s">
        <v>180</v>
      </c>
      <c r="D3" s="399" t="s">
        <v>181</v>
      </c>
      <c r="E3" s="399"/>
      <c r="F3" s="399"/>
      <c r="G3" s="399"/>
      <c r="H3" s="399"/>
      <c r="I3" s="399"/>
      <c r="J3" s="399"/>
      <c r="K3" s="399"/>
      <c r="L3" s="399" t="s">
        <v>182</v>
      </c>
    </row>
    <row r="4" spans="1:14" ht="33" customHeight="1" x14ac:dyDescent="0.2">
      <c r="A4" s="399"/>
      <c r="B4" s="399"/>
      <c r="C4" s="399"/>
      <c r="D4" s="399" t="s">
        <v>183</v>
      </c>
      <c r="E4" s="399" t="s">
        <v>14</v>
      </c>
      <c r="F4" s="399"/>
      <c r="G4" s="399"/>
      <c r="H4" s="399"/>
      <c r="I4" s="399"/>
      <c r="J4" s="399"/>
      <c r="K4" s="399"/>
      <c r="L4" s="399"/>
      <c r="N4" s="42"/>
    </row>
    <row r="5" spans="1:14" ht="15" x14ac:dyDescent="0.2">
      <c r="A5" s="399"/>
      <c r="B5" s="399"/>
      <c r="C5" s="399"/>
      <c r="D5" s="399"/>
      <c r="E5" s="399" t="s">
        <v>184</v>
      </c>
      <c r="F5" s="399" t="s">
        <v>185</v>
      </c>
      <c r="G5" s="399" t="s">
        <v>186</v>
      </c>
      <c r="H5" s="399" t="s">
        <v>187</v>
      </c>
      <c r="I5" s="399"/>
      <c r="J5" s="399" t="s">
        <v>188</v>
      </c>
      <c r="K5" s="399"/>
      <c r="L5" s="399"/>
    </row>
    <row r="6" spans="1:14" ht="60" x14ac:dyDescent="0.2">
      <c r="A6" s="399"/>
      <c r="B6" s="399"/>
      <c r="C6" s="399"/>
      <c r="D6" s="399"/>
      <c r="E6" s="399"/>
      <c r="F6" s="399"/>
      <c r="G6" s="399"/>
      <c r="H6" s="49" t="s">
        <v>189</v>
      </c>
      <c r="I6" s="49" t="s">
        <v>190</v>
      </c>
      <c r="J6" s="49" t="s">
        <v>189</v>
      </c>
      <c r="K6" s="49" t="s">
        <v>191</v>
      </c>
      <c r="L6" s="399"/>
    </row>
    <row r="7" spans="1:14" ht="15" x14ac:dyDescent="0.2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</row>
    <row r="8" spans="1:14" ht="15" x14ac:dyDescent="0.2">
      <c r="A8" s="48" t="s">
        <v>280</v>
      </c>
      <c r="B8" s="49">
        <v>1</v>
      </c>
      <c r="C8" s="48">
        <v>0.5</v>
      </c>
      <c r="D8" s="46">
        <f t="shared" ref="D8:D17" si="0">E8+F8+G8+I8+K8</f>
        <v>13503.76</v>
      </c>
      <c r="E8" s="46">
        <v>8234</v>
      </c>
      <c r="F8" s="46"/>
      <c r="G8" s="46">
        <v>205.85</v>
      </c>
      <c r="H8" s="48">
        <v>30</v>
      </c>
      <c r="I8" s="46">
        <f t="shared" ref="I8:I17" si="1">(E8+F8+G8)*H8/100</f>
        <v>2531.9549999999999</v>
      </c>
      <c r="J8" s="48">
        <v>30</v>
      </c>
      <c r="K8" s="46">
        <f t="shared" ref="K8:K17" si="2">(E8+F8+G8)*J8/100</f>
        <v>2531.9549999999999</v>
      </c>
      <c r="L8" s="50">
        <f t="shared" ref="L8:L16" si="3">C8*D8*12</f>
        <v>81022.559999999998</v>
      </c>
    </row>
    <row r="9" spans="1:14" ht="15" x14ac:dyDescent="0.2">
      <c r="A9" s="48" t="s">
        <v>281</v>
      </c>
      <c r="B9" s="49">
        <f t="shared" ref="B9:B16" si="4">B8+1</f>
        <v>2</v>
      </c>
      <c r="C9" s="48">
        <v>1</v>
      </c>
      <c r="D9" s="46">
        <f t="shared" si="0"/>
        <v>12033.599999999999</v>
      </c>
      <c r="E9" s="46">
        <v>7521</v>
      </c>
      <c r="F9" s="46"/>
      <c r="G9" s="46">
        <v>0</v>
      </c>
      <c r="H9" s="48">
        <v>30</v>
      </c>
      <c r="I9" s="46">
        <f t="shared" si="1"/>
        <v>2256.3000000000002</v>
      </c>
      <c r="J9" s="48">
        <v>30</v>
      </c>
      <c r="K9" s="46">
        <f t="shared" si="2"/>
        <v>2256.3000000000002</v>
      </c>
      <c r="L9" s="50">
        <f t="shared" si="3"/>
        <v>144403.19999999998</v>
      </c>
    </row>
    <row r="10" spans="1:14" ht="15" x14ac:dyDescent="0.2">
      <c r="A10" s="48" t="s">
        <v>282</v>
      </c>
      <c r="B10" s="49">
        <f t="shared" si="4"/>
        <v>3</v>
      </c>
      <c r="C10" s="48">
        <v>1</v>
      </c>
      <c r="D10" s="46">
        <f t="shared" si="0"/>
        <v>11534.880000000001</v>
      </c>
      <c r="E10" s="46">
        <v>6866</v>
      </c>
      <c r="F10" s="46"/>
      <c r="G10" s="46">
        <v>343.3</v>
      </c>
      <c r="H10" s="48">
        <v>30</v>
      </c>
      <c r="I10" s="46">
        <f t="shared" si="1"/>
        <v>2162.79</v>
      </c>
      <c r="J10" s="48">
        <v>30</v>
      </c>
      <c r="K10" s="46">
        <f t="shared" si="2"/>
        <v>2162.79</v>
      </c>
      <c r="L10" s="50">
        <f t="shared" si="3"/>
        <v>138418.56</v>
      </c>
    </row>
    <row r="11" spans="1:14" ht="15" x14ac:dyDescent="0.2">
      <c r="A11" s="48" t="s">
        <v>283</v>
      </c>
      <c r="B11" s="49">
        <f t="shared" si="4"/>
        <v>4</v>
      </c>
      <c r="C11" s="48">
        <v>0.5</v>
      </c>
      <c r="D11" s="46">
        <f t="shared" si="0"/>
        <v>13174.400000000001</v>
      </c>
      <c r="E11" s="46">
        <v>8234</v>
      </c>
      <c r="F11" s="46"/>
      <c r="G11" s="46"/>
      <c r="H11" s="48">
        <v>30</v>
      </c>
      <c r="I11" s="46">
        <f t="shared" si="1"/>
        <v>2470.1999999999998</v>
      </c>
      <c r="J11" s="48">
        <v>30</v>
      </c>
      <c r="K11" s="46">
        <f t="shared" si="2"/>
        <v>2470.1999999999998</v>
      </c>
      <c r="L11" s="50">
        <f t="shared" si="3"/>
        <v>79046.400000000009</v>
      </c>
    </row>
    <row r="12" spans="1:14" ht="15" x14ac:dyDescent="0.2">
      <c r="A12" s="48" t="s">
        <v>284</v>
      </c>
      <c r="B12" s="49">
        <f t="shared" si="4"/>
        <v>5</v>
      </c>
      <c r="C12" s="48">
        <v>0.5</v>
      </c>
      <c r="D12" s="46">
        <f t="shared" si="0"/>
        <v>13174.400000000001</v>
      </c>
      <c r="E12" s="46">
        <v>8234</v>
      </c>
      <c r="F12" s="46"/>
      <c r="G12" s="46"/>
      <c r="H12" s="48">
        <v>30</v>
      </c>
      <c r="I12" s="46">
        <f t="shared" si="1"/>
        <v>2470.1999999999998</v>
      </c>
      <c r="J12" s="48">
        <v>30</v>
      </c>
      <c r="K12" s="46">
        <f t="shared" si="2"/>
        <v>2470.1999999999998</v>
      </c>
      <c r="L12" s="50">
        <f t="shared" si="3"/>
        <v>79046.400000000009</v>
      </c>
    </row>
    <row r="13" spans="1:14" ht="15" x14ac:dyDescent="0.2">
      <c r="A13" s="48" t="s">
        <v>285</v>
      </c>
      <c r="B13" s="49">
        <f t="shared" si="4"/>
        <v>6</v>
      </c>
      <c r="C13" s="48">
        <v>4.3899999999999997</v>
      </c>
      <c r="D13" s="46">
        <f t="shared" si="0"/>
        <v>12172.8</v>
      </c>
      <c r="E13" s="46">
        <v>7226</v>
      </c>
      <c r="F13" s="46"/>
      <c r="G13" s="46">
        <v>382</v>
      </c>
      <c r="H13" s="48">
        <v>30</v>
      </c>
      <c r="I13" s="46">
        <f t="shared" si="1"/>
        <v>2282.4</v>
      </c>
      <c r="J13" s="48">
        <v>30</v>
      </c>
      <c r="K13" s="46">
        <f t="shared" si="2"/>
        <v>2282.4</v>
      </c>
      <c r="L13" s="50">
        <f t="shared" si="3"/>
        <v>641263.10399999982</v>
      </c>
    </row>
    <row r="14" spans="1:14" ht="15" x14ac:dyDescent="0.2">
      <c r="A14" s="48" t="s">
        <v>286</v>
      </c>
      <c r="B14" s="49">
        <f t="shared" si="4"/>
        <v>7</v>
      </c>
      <c r="C14" s="48">
        <v>52.83</v>
      </c>
      <c r="D14" s="46">
        <f t="shared" si="0"/>
        <v>24433.920000000002</v>
      </c>
      <c r="E14" s="46">
        <v>8234</v>
      </c>
      <c r="F14" s="46">
        <v>799.4</v>
      </c>
      <c r="G14" s="46">
        <v>6237.8</v>
      </c>
      <c r="H14" s="48">
        <v>30</v>
      </c>
      <c r="I14" s="46">
        <f t="shared" si="1"/>
        <v>4581.3599999999997</v>
      </c>
      <c r="J14" s="48">
        <v>30</v>
      </c>
      <c r="K14" s="46">
        <f t="shared" si="2"/>
        <v>4581.3599999999997</v>
      </c>
      <c r="L14" s="50">
        <f t="shared" si="3"/>
        <v>15490127.923200002</v>
      </c>
    </row>
    <row r="15" spans="1:14" ht="15" x14ac:dyDescent="0.2">
      <c r="A15" s="48" t="s">
        <v>421</v>
      </c>
      <c r="B15" s="49">
        <f t="shared" si="4"/>
        <v>8</v>
      </c>
      <c r="C15" s="48">
        <v>0.5</v>
      </c>
      <c r="D15" s="46">
        <f t="shared" si="0"/>
        <v>11561.599999999999</v>
      </c>
      <c r="E15" s="46">
        <v>7226</v>
      </c>
      <c r="F15" s="46"/>
      <c r="G15" s="46"/>
      <c r="H15" s="48">
        <v>30</v>
      </c>
      <c r="I15" s="46">
        <f t="shared" si="1"/>
        <v>2167.8000000000002</v>
      </c>
      <c r="J15" s="48">
        <v>30</v>
      </c>
      <c r="K15" s="46">
        <f t="shared" si="2"/>
        <v>2167.8000000000002</v>
      </c>
      <c r="L15" s="50">
        <f t="shared" si="3"/>
        <v>69369.599999999991</v>
      </c>
    </row>
    <row r="16" spans="1:14" ht="30" x14ac:dyDescent="0.2">
      <c r="A16" s="48" t="s">
        <v>287</v>
      </c>
      <c r="B16" s="49">
        <f t="shared" si="4"/>
        <v>9</v>
      </c>
      <c r="C16" s="48">
        <v>1</v>
      </c>
      <c r="D16" s="46">
        <f t="shared" si="0"/>
        <v>13092.32</v>
      </c>
      <c r="E16" s="46">
        <v>7226</v>
      </c>
      <c r="F16" s="46"/>
      <c r="G16" s="46">
        <v>956.7</v>
      </c>
      <c r="H16" s="48">
        <v>30</v>
      </c>
      <c r="I16" s="46">
        <f t="shared" si="1"/>
        <v>2454.81</v>
      </c>
      <c r="J16" s="48">
        <v>30</v>
      </c>
      <c r="K16" s="46">
        <f t="shared" si="2"/>
        <v>2454.81</v>
      </c>
      <c r="L16" s="50">
        <f t="shared" si="3"/>
        <v>157107.84</v>
      </c>
    </row>
    <row r="17" spans="1:12" ht="30" x14ac:dyDescent="0.2">
      <c r="A17" s="48" t="s">
        <v>288</v>
      </c>
      <c r="B17" s="49"/>
      <c r="C17" s="48"/>
      <c r="D17" s="46">
        <f t="shared" si="0"/>
        <v>132845.12</v>
      </c>
      <c r="E17" s="46"/>
      <c r="F17" s="46"/>
      <c r="G17" s="46">
        <f>'3.6.3 (2)'!G17</f>
        <v>83028.2</v>
      </c>
      <c r="H17" s="48">
        <v>30</v>
      </c>
      <c r="I17" s="46">
        <f t="shared" si="1"/>
        <v>24908.46</v>
      </c>
      <c r="J17" s="48">
        <v>30</v>
      </c>
      <c r="K17" s="46">
        <f t="shared" si="2"/>
        <v>24908.46</v>
      </c>
      <c r="L17" s="46">
        <f>D17*12</f>
        <v>1594141.44</v>
      </c>
    </row>
    <row r="18" spans="1:12" ht="20.25" customHeight="1" x14ac:dyDescent="0.2">
      <c r="A18" s="48" t="s">
        <v>133</v>
      </c>
      <c r="B18" s="49">
        <v>9000</v>
      </c>
      <c r="C18" s="49" t="s">
        <v>11</v>
      </c>
      <c r="D18" s="46">
        <f>SUM(D8:D17)</f>
        <v>257526.80000000002</v>
      </c>
      <c r="E18" s="46">
        <f>SUM(E8:E17)</f>
        <v>69001</v>
      </c>
      <c r="F18" s="46">
        <f>SUM(F8:F17)</f>
        <v>799.4</v>
      </c>
      <c r="G18" s="46">
        <f>SUM(G8:G17)</f>
        <v>91153.849999999991</v>
      </c>
      <c r="H18" s="46"/>
      <c r="I18" s="46">
        <f>SUM(I8:I17)</f>
        <v>48286.274999999994</v>
      </c>
      <c r="J18" s="46"/>
      <c r="K18" s="46">
        <f>SUM(K8:K17)</f>
        <v>48286.274999999994</v>
      </c>
      <c r="L18" s="241">
        <f>SUM(L8:L17)+76.87+0.02</f>
        <v>18474023.917200003</v>
      </c>
    </row>
    <row r="19" spans="1:12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5" x14ac:dyDescent="0.25">
      <c r="A20" s="1" t="s">
        <v>431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5" x14ac:dyDescent="0.2">
      <c r="A21" s="399" t="s">
        <v>179</v>
      </c>
      <c r="B21" s="399" t="s">
        <v>1</v>
      </c>
      <c r="C21" s="399" t="s">
        <v>180</v>
      </c>
      <c r="D21" s="399" t="s">
        <v>181</v>
      </c>
      <c r="E21" s="399"/>
      <c r="F21" s="399"/>
      <c r="G21" s="399"/>
      <c r="H21" s="399"/>
      <c r="I21" s="399"/>
      <c r="J21" s="399"/>
      <c r="K21" s="399"/>
      <c r="L21" s="399" t="s">
        <v>182</v>
      </c>
    </row>
    <row r="22" spans="1:12" ht="15" x14ac:dyDescent="0.2">
      <c r="A22" s="399"/>
      <c r="B22" s="399"/>
      <c r="C22" s="399"/>
      <c r="D22" s="399" t="s">
        <v>183</v>
      </c>
      <c r="E22" s="399" t="s">
        <v>14</v>
      </c>
      <c r="F22" s="399"/>
      <c r="G22" s="399"/>
      <c r="H22" s="399"/>
      <c r="I22" s="399"/>
      <c r="J22" s="399"/>
      <c r="K22" s="399"/>
      <c r="L22" s="399"/>
    </row>
    <row r="23" spans="1:12" ht="15" x14ac:dyDescent="0.2">
      <c r="A23" s="399"/>
      <c r="B23" s="399"/>
      <c r="C23" s="399"/>
      <c r="D23" s="399"/>
      <c r="E23" s="399" t="s">
        <v>184</v>
      </c>
      <c r="F23" s="399" t="s">
        <v>185</v>
      </c>
      <c r="G23" s="399" t="s">
        <v>186</v>
      </c>
      <c r="H23" s="399" t="s">
        <v>187</v>
      </c>
      <c r="I23" s="399"/>
      <c r="J23" s="399" t="s">
        <v>188</v>
      </c>
      <c r="K23" s="399"/>
      <c r="L23" s="399"/>
    </row>
    <row r="24" spans="1:12" ht="60" x14ac:dyDescent="0.2">
      <c r="A24" s="399"/>
      <c r="B24" s="399"/>
      <c r="C24" s="399"/>
      <c r="D24" s="399"/>
      <c r="E24" s="399"/>
      <c r="F24" s="399"/>
      <c r="G24" s="399"/>
      <c r="H24" s="49" t="s">
        <v>189</v>
      </c>
      <c r="I24" s="49" t="s">
        <v>190</v>
      </c>
      <c r="J24" s="49" t="s">
        <v>189</v>
      </c>
      <c r="K24" s="49" t="s">
        <v>191</v>
      </c>
      <c r="L24" s="399"/>
    </row>
    <row r="25" spans="1:12" ht="15" x14ac:dyDescent="0.2">
      <c r="A25" s="49">
        <v>1</v>
      </c>
      <c r="B25" s="49">
        <v>2</v>
      </c>
      <c r="C25" s="49">
        <v>3</v>
      </c>
      <c r="D25" s="49">
        <v>4</v>
      </c>
      <c r="E25" s="49">
        <v>5</v>
      </c>
      <c r="F25" s="49">
        <v>6</v>
      </c>
      <c r="G25" s="49">
        <v>7</v>
      </c>
      <c r="H25" s="49">
        <v>8</v>
      </c>
      <c r="I25" s="49">
        <v>9</v>
      </c>
      <c r="J25" s="49">
        <v>10</v>
      </c>
      <c r="K25" s="49">
        <v>11</v>
      </c>
      <c r="L25" s="49">
        <v>12</v>
      </c>
    </row>
    <row r="26" spans="1:12" ht="30" x14ac:dyDescent="0.2">
      <c r="A26" s="48" t="s">
        <v>289</v>
      </c>
      <c r="B26" s="49">
        <v>1</v>
      </c>
      <c r="C26" s="48">
        <v>0.99</v>
      </c>
      <c r="D26" s="46">
        <v>12341.12</v>
      </c>
      <c r="E26" s="46">
        <v>6556</v>
      </c>
      <c r="F26" s="46"/>
      <c r="G26" s="46">
        <v>1157.2</v>
      </c>
      <c r="H26" s="48">
        <v>30</v>
      </c>
      <c r="I26" s="46">
        <f>(E26+F26+G26)*H26/100</f>
        <v>2313.96</v>
      </c>
      <c r="J26" s="48">
        <v>30</v>
      </c>
      <c r="K26" s="46">
        <f>(E26+F26+G26)*J26/100</f>
        <v>2313.96</v>
      </c>
      <c r="L26" s="46">
        <f>C26*D26*12</f>
        <v>146612.5056</v>
      </c>
    </row>
    <row r="27" spans="1:12" ht="30" x14ac:dyDescent="0.2">
      <c r="A27" s="48" t="s">
        <v>290</v>
      </c>
      <c r="B27" s="49">
        <f>B26+1</f>
        <v>2</v>
      </c>
      <c r="C27" s="48">
        <v>1</v>
      </c>
      <c r="D27" s="46">
        <v>12440</v>
      </c>
      <c r="E27" s="46">
        <v>6866</v>
      </c>
      <c r="F27" s="46"/>
      <c r="G27" s="46">
        <v>909</v>
      </c>
      <c r="H27" s="48">
        <v>30</v>
      </c>
      <c r="I27" s="46">
        <f>(E27+F27+G27)*H27/100</f>
        <v>2332.5</v>
      </c>
      <c r="J27" s="48">
        <v>30</v>
      </c>
      <c r="K27" s="46">
        <f>(E27+F27+G27)*J27/100</f>
        <v>2332.5</v>
      </c>
      <c r="L27" s="46">
        <f>C27*D27*12</f>
        <v>149280</v>
      </c>
    </row>
    <row r="28" spans="1:12" ht="30" x14ac:dyDescent="0.2">
      <c r="A28" s="48" t="s">
        <v>290</v>
      </c>
      <c r="B28" s="49">
        <f>B27+1</f>
        <v>3</v>
      </c>
      <c r="C28" s="48"/>
      <c r="D28" s="46">
        <f>E28+F28+G28+I28+K28</f>
        <v>0</v>
      </c>
      <c r="E28" s="46"/>
      <c r="F28" s="46"/>
      <c r="G28" s="46"/>
      <c r="H28" s="48">
        <v>30</v>
      </c>
      <c r="I28" s="46">
        <f>(E28+F28+G28)*H28/100</f>
        <v>0</v>
      </c>
      <c r="J28" s="48">
        <v>30</v>
      </c>
      <c r="K28" s="46">
        <f>(E28+F28+G28)*J28/100</f>
        <v>0</v>
      </c>
      <c r="L28" s="46">
        <f>C28*D28*12</f>
        <v>0</v>
      </c>
    </row>
    <row r="29" spans="1:12" ht="30" x14ac:dyDescent="0.2">
      <c r="A29" s="48" t="s">
        <v>288</v>
      </c>
      <c r="B29" s="49"/>
      <c r="C29" s="48"/>
      <c r="D29" s="46">
        <v>32638.67</v>
      </c>
      <c r="E29" s="46"/>
      <c r="F29" s="46"/>
      <c r="G29" s="46">
        <v>20399.169999999998</v>
      </c>
      <c r="H29" s="48">
        <v>30</v>
      </c>
      <c r="I29" s="46">
        <f>(E29+F29+G29)*H29/100</f>
        <v>6119.7510000000002</v>
      </c>
      <c r="J29" s="48">
        <v>30</v>
      </c>
      <c r="K29" s="46">
        <f>(E29+F29+G29)*J29/100</f>
        <v>6119.7510000000002</v>
      </c>
      <c r="L29" s="46">
        <f>D29*12</f>
        <v>391664.04</v>
      </c>
    </row>
    <row r="30" spans="1:12" ht="24.75" customHeight="1" x14ac:dyDescent="0.2">
      <c r="A30" s="48" t="s">
        <v>133</v>
      </c>
      <c r="B30" s="49">
        <v>9000</v>
      </c>
      <c r="C30" s="49" t="s">
        <v>11</v>
      </c>
      <c r="D30" s="46">
        <f>SUM(D26:D29)</f>
        <v>57419.79</v>
      </c>
      <c r="E30" s="46">
        <f>SUM(E26:E29)</f>
        <v>13422</v>
      </c>
      <c r="F30" s="46">
        <f>SUM(F26:F29)</f>
        <v>0</v>
      </c>
      <c r="G30" s="46">
        <f>SUM(G26:G29)</f>
        <v>22465.37</v>
      </c>
      <c r="H30" s="46"/>
      <c r="I30" s="46">
        <f>SUM(I26:I29)</f>
        <v>10766.210999999999</v>
      </c>
      <c r="J30" s="46"/>
      <c r="K30" s="46">
        <f>SUM(K26:K29)</f>
        <v>10766.210999999999</v>
      </c>
      <c r="L30" s="241">
        <f>L26+L27+L28+L29+0.02</f>
        <v>687556.56560000009</v>
      </c>
    </row>
    <row r="31" spans="1:12" ht="15" x14ac:dyDescent="0.2">
      <c r="A31" s="60"/>
      <c r="B31" s="61"/>
      <c r="C31" s="61"/>
      <c r="D31" s="62"/>
      <c r="E31" s="62"/>
      <c r="F31" s="62"/>
      <c r="G31" s="62"/>
      <c r="H31" s="62"/>
      <c r="I31" s="62"/>
      <c r="J31" s="62"/>
      <c r="K31" s="62"/>
      <c r="L31" s="63"/>
    </row>
    <row r="32" spans="1:12" ht="15" x14ac:dyDescent="0.2">
      <c r="A32" s="60"/>
      <c r="B32" s="61"/>
      <c r="C32" s="61"/>
      <c r="D32" s="62"/>
      <c r="E32" s="62"/>
      <c r="F32" s="62"/>
      <c r="G32" s="62"/>
      <c r="H32" s="62"/>
      <c r="I32" s="62"/>
      <c r="J32" s="62"/>
      <c r="K32" s="62"/>
      <c r="L32" s="63"/>
    </row>
    <row r="33" spans="1:12" ht="15" x14ac:dyDescent="0.2">
      <c r="A33" s="60"/>
      <c r="B33" s="61"/>
      <c r="C33" s="61"/>
      <c r="D33" s="62"/>
      <c r="E33" s="62"/>
      <c r="F33" s="62"/>
      <c r="G33" s="62"/>
      <c r="H33" s="62"/>
      <c r="I33" s="62"/>
      <c r="J33" s="62"/>
      <c r="K33" s="62"/>
      <c r="L33" s="63"/>
    </row>
    <row r="34" spans="1:12" ht="15" x14ac:dyDescent="0.2">
      <c r="A34" s="60"/>
      <c r="B34" s="61"/>
      <c r="C34" s="61"/>
      <c r="D34" s="62"/>
      <c r="E34" s="62"/>
      <c r="F34" s="62"/>
      <c r="G34" s="62"/>
      <c r="H34" s="62"/>
      <c r="I34" s="62"/>
      <c r="J34" s="62"/>
      <c r="K34" s="62"/>
      <c r="L34" s="63"/>
    </row>
    <row r="35" spans="1:12" ht="15" x14ac:dyDescent="0.2">
      <c r="A35" s="60"/>
      <c r="B35" s="61"/>
      <c r="C35" s="61"/>
      <c r="D35" s="62"/>
      <c r="E35" s="62"/>
      <c r="F35" s="62"/>
      <c r="G35" s="62"/>
      <c r="H35" s="62"/>
      <c r="I35" s="62"/>
      <c r="J35" s="62"/>
      <c r="K35" s="62"/>
      <c r="L35" s="63"/>
    </row>
    <row r="36" spans="1:12" ht="15" x14ac:dyDescent="0.2">
      <c r="A36" s="60"/>
      <c r="B36" s="61"/>
      <c r="C36" s="61"/>
      <c r="D36" s="62"/>
      <c r="E36" s="62"/>
      <c r="F36" s="62"/>
      <c r="G36" s="62"/>
      <c r="H36" s="62"/>
      <c r="I36" s="62"/>
      <c r="J36" s="62"/>
      <c r="K36" s="62"/>
      <c r="L36" s="63"/>
    </row>
    <row r="37" spans="1:12" ht="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5" x14ac:dyDescent="0.25">
      <c r="A38" s="1" t="s">
        <v>428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" x14ac:dyDescent="0.2">
      <c r="A39" s="399" t="s">
        <v>179</v>
      </c>
      <c r="B39" s="399" t="s">
        <v>1</v>
      </c>
      <c r="C39" s="399" t="s">
        <v>180</v>
      </c>
      <c r="D39" s="399" t="s">
        <v>181</v>
      </c>
      <c r="E39" s="399"/>
      <c r="F39" s="399"/>
      <c r="G39" s="399"/>
      <c r="H39" s="399"/>
      <c r="I39" s="399"/>
      <c r="J39" s="399"/>
      <c r="K39" s="399"/>
      <c r="L39" s="399" t="s">
        <v>182</v>
      </c>
    </row>
    <row r="40" spans="1:12" ht="15" x14ac:dyDescent="0.2">
      <c r="A40" s="399"/>
      <c r="B40" s="399"/>
      <c r="C40" s="399"/>
      <c r="D40" s="399" t="s">
        <v>183</v>
      </c>
      <c r="E40" s="399" t="s">
        <v>14</v>
      </c>
      <c r="F40" s="399"/>
      <c r="G40" s="399"/>
      <c r="H40" s="399"/>
      <c r="I40" s="399"/>
      <c r="J40" s="399"/>
      <c r="K40" s="399"/>
      <c r="L40" s="399"/>
    </row>
    <row r="41" spans="1:12" ht="15" x14ac:dyDescent="0.2">
      <c r="A41" s="399"/>
      <c r="B41" s="399"/>
      <c r="C41" s="399"/>
      <c r="D41" s="399"/>
      <c r="E41" s="399" t="s">
        <v>184</v>
      </c>
      <c r="F41" s="399" t="s">
        <v>185</v>
      </c>
      <c r="G41" s="399" t="s">
        <v>186</v>
      </c>
      <c r="H41" s="399" t="s">
        <v>187</v>
      </c>
      <c r="I41" s="399"/>
      <c r="J41" s="399" t="s">
        <v>188</v>
      </c>
      <c r="K41" s="399"/>
      <c r="L41" s="399"/>
    </row>
    <row r="42" spans="1:12" ht="60" x14ac:dyDescent="0.2">
      <c r="A42" s="399"/>
      <c r="B42" s="399"/>
      <c r="C42" s="399"/>
      <c r="D42" s="399"/>
      <c r="E42" s="399"/>
      <c r="F42" s="399"/>
      <c r="G42" s="399"/>
      <c r="H42" s="49" t="s">
        <v>189</v>
      </c>
      <c r="I42" s="49" t="s">
        <v>190</v>
      </c>
      <c r="J42" s="49" t="s">
        <v>189</v>
      </c>
      <c r="K42" s="49" t="s">
        <v>191</v>
      </c>
      <c r="L42" s="399"/>
    </row>
    <row r="43" spans="1:12" ht="15" x14ac:dyDescent="0.2">
      <c r="A43" s="49">
        <v>1</v>
      </c>
      <c r="B43" s="49">
        <v>2</v>
      </c>
      <c r="C43" s="49">
        <v>3</v>
      </c>
      <c r="D43" s="49">
        <v>4</v>
      </c>
      <c r="E43" s="49">
        <v>5</v>
      </c>
      <c r="F43" s="49">
        <v>6</v>
      </c>
      <c r="G43" s="49">
        <v>7</v>
      </c>
      <c r="H43" s="49">
        <v>8</v>
      </c>
      <c r="I43" s="49">
        <v>9</v>
      </c>
      <c r="J43" s="49">
        <v>10</v>
      </c>
      <c r="K43" s="49">
        <v>11</v>
      </c>
      <c r="L43" s="49">
        <v>12</v>
      </c>
    </row>
    <row r="44" spans="1:12" ht="18.75" customHeight="1" x14ac:dyDescent="0.2">
      <c r="A44" s="48" t="s">
        <v>556</v>
      </c>
      <c r="B44" s="49">
        <v>1</v>
      </c>
      <c r="C44" s="48">
        <v>1</v>
      </c>
      <c r="D44" s="46">
        <f>'3.6.3 (2)'!D39</f>
        <v>29882.159999999996</v>
      </c>
      <c r="E44" s="46">
        <f>'3.6.3 (2)'!E39</f>
        <v>17787</v>
      </c>
      <c r="F44" s="46"/>
      <c r="G44" s="46">
        <f>'3.6.3 (2)'!G39</f>
        <v>889.35</v>
      </c>
      <c r="H44" s="48">
        <v>30</v>
      </c>
      <c r="I44" s="46">
        <f t="shared" ref="I44:I56" si="5">(E44+F44+G44)*H44/100</f>
        <v>5602.9049999999997</v>
      </c>
      <c r="J44" s="48">
        <v>30</v>
      </c>
      <c r="K44" s="46">
        <f t="shared" ref="K44:K56" si="6">(E44+F44+G44)*J44/100</f>
        <v>5602.9049999999997</v>
      </c>
      <c r="L44" s="50">
        <f>'3.6.3 (2)'!L39</f>
        <v>358585.91999999993</v>
      </c>
    </row>
    <row r="45" spans="1:12" ht="30" x14ac:dyDescent="0.2">
      <c r="A45" s="48" t="s">
        <v>291</v>
      </c>
      <c r="B45" s="49">
        <f>B44+1</f>
        <v>2</v>
      </c>
      <c r="C45" s="48">
        <v>1</v>
      </c>
      <c r="D45" s="46">
        <f>'3.6.3 (2)'!D40</f>
        <v>24902</v>
      </c>
      <c r="E45" s="46">
        <f>'3.6.3 (2)'!E40</f>
        <v>12451</v>
      </c>
      <c r="F45" s="46"/>
      <c r="G45" s="46">
        <f>'3.6.3 (2)'!G40</f>
        <v>3112.75</v>
      </c>
      <c r="H45" s="48">
        <v>30</v>
      </c>
      <c r="I45" s="46">
        <f t="shared" si="5"/>
        <v>4669.125</v>
      </c>
      <c r="J45" s="48">
        <v>30</v>
      </c>
      <c r="K45" s="46">
        <f t="shared" si="6"/>
        <v>4669.125</v>
      </c>
      <c r="L45" s="50">
        <f>'3.6.3 (2)'!L40</f>
        <v>298824</v>
      </c>
    </row>
    <row r="46" spans="1:12" ht="30" x14ac:dyDescent="0.2">
      <c r="A46" s="48" t="s">
        <v>292</v>
      </c>
      <c r="B46" s="49">
        <f>B45+1</f>
        <v>3</v>
      </c>
      <c r="C46" s="48">
        <v>1</v>
      </c>
      <c r="D46" s="46">
        <f>'3.6.3 (2)'!D41</f>
        <v>20794.400000000001</v>
      </c>
      <c r="E46" s="46">
        <f>'3.6.3 (2)'!E41</f>
        <v>12451</v>
      </c>
      <c r="F46" s="46"/>
      <c r="G46" s="46">
        <f>'3.6.3 (2)'!G41</f>
        <v>545.5</v>
      </c>
      <c r="H46" s="48">
        <v>30</v>
      </c>
      <c r="I46" s="46">
        <f t="shared" si="5"/>
        <v>3898.95</v>
      </c>
      <c r="J46" s="48">
        <v>30</v>
      </c>
      <c r="K46" s="46">
        <f t="shared" si="6"/>
        <v>3898.95</v>
      </c>
      <c r="L46" s="50">
        <f>'3.6.3 (2)'!L41</f>
        <v>249532.80000000002</v>
      </c>
    </row>
    <row r="47" spans="1:12" ht="30" x14ac:dyDescent="0.2">
      <c r="A47" s="48" t="s">
        <v>291</v>
      </c>
      <c r="B47" s="49">
        <f>B46+1</f>
        <v>4</v>
      </c>
      <c r="C47" s="48">
        <v>1</v>
      </c>
      <c r="D47" s="46">
        <f t="shared" ref="D47:D55" si="7">E47+F47+G47+I47+K47</f>
        <v>20419.648000000001</v>
      </c>
      <c r="E47" s="46">
        <f>'3.6.3 (2)'!E42</f>
        <v>12451</v>
      </c>
      <c r="F47" s="46"/>
      <c r="G47" s="46">
        <f>'3.6.3 (2)'!G42</f>
        <v>311.27999999999997</v>
      </c>
      <c r="H47" s="48">
        <v>30</v>
      </c>
      <c r="I47" s="46">
        <f t="shared" si="5"/>
        <v>3828.6840000000002</v>
      </c>
      <c r="J47" s="51">
        <v>30</v>
      </c>
      <c r="K47" s="46">
        <f t="shared" si="6"/>
        <v>3828.6840000000002</v>
      </c>
      <c r="L47" s="50">
        <f>'3.6.3 (2)'!L42</f>
        <v>245035.77600000001</v>
      </c>
    </row>
    <row r="48" spans="1:12" ht="30" x14ac:dyDescent="0.2">
      <c r="A48" s="48" t="s">
        <v>420</v>
      </c>
      <c r="B48" s="49">
        <v>5</v>
      </c>
      <c r="C48" s="48">
        <v>1</v>
      </c>
      <c r="D48" s="46">
        <f t="shared" si="7"/>
        <v>20917.679999999997</v>
      </c>
      <c r="E48" s="46">
        <f>'3.6.3 (2)'!E43</f>
        <v>12451</v>
      </c>
      <c r="F48" s="46"/>
      <c r="G48" s="46">
        <f>'3.6.3 (2)'!G43</f>
        <v>622.54999999999995</v>
      </c>
      <c r="H48" s="48">
        <v>30</v>
      </c>
      <c r="I48" s="46">
        <f t="shared" si="5"/>
        <v>3922.0650000000001</v>
      </c>
      <c r="J48" s="48">
        <v>30</v>
      </c>
      <c r="K48" s="46">
        <f t="shared" si="6"/>
        <v>3922.0650000000001</v>
      </c>
      <c r="L48" s="50">
        <f>'3.6.3 (2)'!L43</f>
        <v>251012.15999999997</v>
      </c>
    </row>
    <row r="49" spans="1:12" ht="18.75" customHeight="1" x14ac:dyDescent="0.2">
      <c r="A49" s="48" t="s">
        <v>313</v>
      </c>
      <c r="B49" s="49">
        <v>6</v>
      </c>
      <c r="C49" s="48">
        <v>0.8</v>
      </c>
      <c r="D49" s="46">
        <f t="shared" si="7"/>
        <v>8221.44</v>
      </c>
      <c r="E49" s="46">
        <f>'3.6.3 (2)'!E44</f>
        <v>4282</v>
      </c>
      <c r="F49" s="46"/>
      <c r="G49" s="46">
        <f>'3.6.3 (2)'!G44</f>
        <v>856.4</v>
      </c>
      <c r="H49" s="48">
        <v>30</v>
      </c>
      <c r="I49" s="46">
        <f t="shared" si="5"/>
        <v>1541.52</v>
      </c>
      <c r="J49" s="48">
        <v>30</v>
      </c>
      <c r="K49" s="46">
        <f t="shared" si="6"/>
        <v>1541.52</v>
      </c>
      <c r="L49" s="50">
        <f>'3.6.3 (2)'!L44</f>
        <v>78925.824000000008</v>
      </c>
    </row>
    <row r="50" spans="1:12" ht="30" x14ac:dyDescent="0.2">
      <c r="A50" s="48" t="s">
        <v>294</v>
      </c>
      <c r="B50" s="49">
        <f>B49+1</f>
        <v>7</v>
      </c>
      <c r="C50" s="48">
        <v>1</v>
      </c>
      <c r="D50" s="46">
        <f t="shared" si="7"/>
        <v>6542.0800000000008</v>
      </c>
      <c r="E50" s="46">
        <f>'3.6.3 (2)'!E45</f>
        <v>3894</v>
      </c>
      <c r="F50" s="46"/>
      <c r="G50" s="46">
        <f>'3.6.3 (2)'!G45</f>
        <v>194.8</v>
      </c>
      <c r="H50" s="48">
        <v>30</v>
      </c>
      <c r="I50" s="46">
        <f t="shared" si="5"/>
        <v>1226.6400000000001</v>
      </c>
      <c r="J50" s="48">
        <v>30</v>
      </c>
      <c r="K50" s="46">
        <f t="shared" si="6"/>
        <v>1226.6400000000001</v>
      </c>
      <c r="L50" s="50">
        <f>'3.6.3 (2)'!L45</f>
        <v>78504.960000000006</v>
      </c>
    </row>
    <row r="51" spans="1:12" ht="18" customHeight="1" x14ac:dyDescent="0.2">
      <c r="A51" s="48" t="s">
        <v>295</v>
      </c>
      <c r="B51" s="49">
        <v>8</v>
      </c>
      <c r="C51" s="48">
        <v>1</v>
      </c>
      <c r="D51" s="46">
        <f t="shared" si="7"/>
        <v>7536.32</v>
      </c>
      <c r="E51" s="46">
        <f>'3.6.3 (2)'!E46</f>
        <v>4282</v>
      </c>
      <c r="F51" s="46"/>
      <c r="G51" s="46">
        <f>'3.6.3 (2)'!G46</f>
        <v>428.2</v>
      </c>
      <c r="H51" s="48">
        <v>30</v>
      </c>
      <c r="I51" s="46">
        <f t="shared" si="5"/>
        <v>1413.06</v>
      </c>
      <c r="J51" s="48">
        <v>30</v>
      </c>
      <c r="K51" s="46">
        <f t="shared" si="6"/>
        <v>1413.06</v>
      </c>
      <c r="L51" s="50">
        <f>'3.6.3 (2)'!L46</f>
        <v>90435.839999999997</v>
      </c>
    </row>
    <row r="52" spans="1:12" ht="18" customHeight="1" x14ac:dyDescent="0.2">
      <c r="A52" s="48" t="s">
        <v>296</v>
      </c>
      <c r="B52" s="49">
        <f>B51+1</f>
        <v>9</v>
      </c>
      <c r="C52" s="48">
        <v>1</v>
      </c>
      <c r="D52" s="46">
        <f t="shared" si="7"/>
        <v>12033.599999999999</v>
      </c>
      <c r="E52" s="46">
        <f>'3.6.3 (2)'!E47</f>
        <v>7521</v>
      </c>
      <c r="F52" s="46"/>
      <c r="G52" s="46">
        <f>'3.6.3 (2)'!G47</f>
        <v>0</v>
      </c>
      <c r="H52" s="48">
        <v>30</v>
      </c>
      <c r="I52" s="46">
        <f t="shared" si="5"/>
        <v>2256.3000000000002</v>
      </c>
      <c r="J52" s="48">
        <v>30</v>
      </c>
      <c r="K52" s="46">
        <f t="shared" si="6"/>
        <v>2256.3000000000002</v>
      </c>
      <c r="L52" s="50">
        <f>'3.6.3 (2)'!L47</f>
        <v>144403.19999999998</v>
      </c>
    </row>
    <row r="53" spans="1:12" ht="30" x14ac:dyDescent="0.2">
      <c r="A53" s="48" t="s">
        <v>297</v>
      </c>
      <c r="B53" s="49">
        <v>10</v>
      </c>
      <c r="C53" s="48">
        <v>0.25</v>
      </c>
      <c r="D53" s="46">
        <f t="shared" si="7"/>
        <v>6851.2000000000007</v>
      </c>
      <c r="E53" s="46">
        <f>'3.6.3 (2)'!E48</f>
        <v>4282</v>
      </c>
      <c r="F53" s="46"/>
      <c r="G53" s="46"/>
      <c r="H53" s="48">
        <v>30</v>
      </c>
      <c r="I53" s="46">
        <f t="shared" si="5"/>
        <v>1284.5999999999999</v>
      </c>
      <c r="J53" s="48">
        <v>30</v>
      </c>
      <c r="K53" s="46">
        <f t="shared" si="6"/>
        <v>1284.5999999999999</v>
      </c>
      <c r="L53" s="50">
        <f>'3.6.3 (2)'!L48</f>
        <v>20553.600000000002</v>
      </c>
    </row>
    <row r="54" spans="1:12" ht="45" x14ac:dyDescent="0.2">
      <c r="A54" s="48" t="s">
        <v>549</v>
      </c>
      <c r="B54" s="49"/>
      <c r="C54" s="48"/>
      <c r="D54" s="46">
        <f t="shared" si="7"/>
        <v>17360.112000000001</v>
      </c>
      <c r="E54" s="46"/>
      <c r="F54" s="46"/>
      <c r="G54" s="46">
        <f>'3.6.3 (2)'!G49</f>
        <v>10850.07</v>
      </c>
      <c r="H54" s="48">
        <v>30</v>
      </c>
      <c r="I54" s="46">
        <f t="shared" si="5"/>
        <v>3255.0209999999997</v>
      </c>
      <c r="J54" s="48">
        <v>30</v>
      </c>
      <c r="K54" s="46">
        <f t="shared" si="6"/>
        <v>3255.0209999999997</v>
      </c>
      <c r="L54" s="50">
        <f>'3.6.3 (2)'!L49</f>
        <v>208321.34400000001</v>
      </c>
    </row>
    <row r="55" spans="1:12" ht="33" customHeight="1" x14ac:dyDescent="0.2">
      <c r="A55" s="48" t="s">
        <v>298</v>
      </c>
      <c r="B55" s="49"/>
      <c r="C55" s="48"/>
      <c r="D55" s="46">
        <f t="shared" si="7"/>
        <v>48857.696000000004</v>
      </c>
      <c r="E55" s="46"/>
      <c r="F55" s="46"/>
      <c r="G55" s="46">
        <v>30536.06</v>
      </c>
      <c r="H55" s="48">
        <v>30</v>
      </c>
      <c r="I55" s="46">
        <f t="shared" si="5"/>
        <v>9160.8180000000011</v>
      </c>
      <c r="J55" s="48">
        <v>30</v>
      </c>
      <c r="K55" s="46">
        <f>(E55+F55+G55)*J55/100</f>
        <v>9160.8180000000011</v>
      </c>
      <c r="L55" s="50">
        <f>'3.6.3 (2)'!L50</f>
        <v>586292.35199999996</v>
      </c>
    </row>
    <row r="56" spans="1:12" ht="18.75" customHeight="1" x14ac:dyDescent="0.2">
      <c r="A56" s="48" t="s">
        <v>299</v>
      </c>
      <c r="B56" s="49"/>
      <c r="C56" s="48"/>
      <c r="D56" s="46">
        <f>E56+F56+G56+I56+K56</f>
        <v>48072</v>
      </c>
      <c r="E56" s="46"/>
      <c r="F56" s="46"/>
      <c r="G56" s="46">
        <f>'3.6.3 (2)'!G51</f>
        <v>30045</v>
      </c>
      <c r="H56" s="48">
        <v>30</v>
      </c>
      <c r="I56" s="46">
        <f t="shared" si="5"/>
        <v>9013.5</v>
      </c>
      <c r="J56" s="48">
        <v>30</v>
      </c>
      <c r="K56" s="46">
        <f t="shared" si="6"/>
        <v>9013.5</v>
      </c>
      <c r="L56" s="50">
        <f>'3.6.3 (2)'!L51</f>
        <v>886533.74</v>
      </c>
    </row>
    <row r="57" spans="1:12" ht="21" customHeight="1" x14ac:dyDescent="0.2">
      <c r="A57" s="48" t="s">
        <v>133</v>
      </c>
      <c r="B57" s="49">
        <v>9000</v>
      </c>
      <c r="C57" s="49" t="s">
        <v>11</v>
      </c>
      <c r="D57" s="46">
        <f>SUM(D44:D56)</f>
        <v>272390.33600000001</v>
      </c>
      <c r="E57" s="46">
        <f>SUM(E44:E56)</f>
        <v>91852</v>
      </c>
      <c r="F57" s="46">
        <f>SUM(F44:F56)</f>
        <v>0</v>
      </c>
      <c r="G57" s="46">
        <f>SUM(G44:G56)</f>
        <v>78391.960000000006</v>
      </c>
      <c r="H57" s="46"/>
      <c r="I57" s="46">
        <f>SUM(I44:I56)</f>
        <v>51073.187999999995</v>
      </c>
      <c r="J57" s="46"/>
      <c r="K57" s="46">
        <f>SUM(K44:K56)</f>
        <v>51073.187999999995</v>
      </c>
      <c r="L57" s="241">
        <f>SUM(L44:L56)-309747.52</f>
        <v>3187213.9959999998</v>
      </c>
    </row>
    <row r="58" spans="1:12" ht="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5" x14ac:dyDescent="0.25">
      <c r="A59" s="1" t="s">
        <v>300</v>
      </c>
      <c r="B59" s="1" t="s">
        <v>429</v>
      </c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5" x14ac:dyDescent="0.2">
      <c r="A60" s="399" t="s">
        <v>179</v>
      </c>
      <c r="B60" s="399" t="s">
        <v>1</v>
      </c>
      <c r="C60" s="399" t="s">
        <v>180</v>
      </c>
      <c r="D60" s="399" t="s">
        <v>181</v>
      </c>
      <c r="E60" s="399"/>
      <c r="F60" s="399"/>
      <c r="G60" s="399"/>
      <c r="H60" s="399"/>
      <c r="I60" s="399"/>
      <c r="J60" s="399"/>
      <c r="K60" s="399"/>
      <c r="L60" s="399" t="s">
        <v>182</v>
      </c>
    </row>
    <row r="61" spans="1:12" ht="15" x14ac:dyDescent="0.2">
      <c r="A61" s="399"/>
      <c r="B61" s="399"/>
      <c r="C61" s="399"/>
      <c r="D61" s="399" t="s">
        <v>183</v>
      </c>
      <c r="E61" s="399" t="s">
        <v>14</v>
      </c>
      <c r="F61" s="399"/>
      <c r="G61" s="399"/>
      <c r="H61" s="399"/>
      <c r="I61" s="399"/>
      <c r="J61" s="399"/>
      <c r="K61" s="399"/>
      <c r="L61" s="399"/>
    </row>
    <row r="62" spans="1:12" ht="15" x14ac:dyDescent="0.2">
      <c r="A62" s="399"/>
      <c r="B62" s="399"/>
      <c r="C62" s="399"/>
      <c r="D62" s="399"/>
      <c r="E62" s="399" t="s">
        <v>184</v>
      </c>
      <c r="F62" s="399" t="s">
        <v>185</v>
      </c>
      <c r="G62" s="399" t="s">
        <v>186</v>
      </c>
      <c r="H62" s="399" t="s">
        <v>187</v>
      </c>
      <c r="I62" s="399"/>
      <c r="J62" s="399" t="s">
        <v>188</v>
      </c>
      <c r="K62" s="399"/>
      <c r="L62" s="399"/>
    </row>
    <row r="63" spans="1:12" ht="60" x14ac:dyDescent="0.2">
      <c r="A63" s="399"/>
      <c r="B63" s="399"/>
      <c r="C63" s="399"/>
      <c r="D63" s="399"/>
      <c r="E63" s="399"/>
      <c r="F63" s="399"/>
      <c r="G63" s="399"/>
      <c r="H63" s="49" t="s">
        <v>189</v>
      </c>
      <c r="I63" s="49" t="s">
        <v>190</v>
      </c>
      <c r="J63" s="49" t="s">
        <v>189</v>
      </c>
      <c r="K63" s="49" t="s">
        <v>191</v>
      </c>
      <c r="L63" s="399"/>
    </row>
    <row r="64" spans="1:12" ht="15" x14ac:dyDescent="0.2">
      <c r="A64" s="49">
        <v>1</v>
      </c>
      <c r="B64" s="49">
        <v>2</v>
      </c>
      <c r="C64" s="49">
        <v>3</v>
      </c>
      <c r="D64" s="49">
        <v>4</v>
      </c>
      <c r="E64" s="49">
        <v>5</v>
      </c>
      <c r="F64" s="49">
        <v>6</v>
      </c>
      <c r="G64" s="49">
        <v>7</v>
      </c>
      <c r="H64" s="49">
        <v>8</v>
      </c>
      <c r="I64" s="49">
        <v>9</v>
      </c>
      <c r="J64" s="49">
        <v>10</v>
      </c>
      <c r="K64" s="49">
        <v>11</v>
      </c>
      <c r="L64" s="49">
        <v>12</v>
      </c>
    </row>
    <row r="65" spans="1:12" ht="21" customHeight="1" x14ac:dyDescent="0.2">
      <c r="A65" s="48" t="s">
        <v>301</v>
      </c>
      <c r="B65" s="49">
        <v>1</v>
      </c>
      <c r="C65" s="48">
        <v>2</v>
      </c>
      <c r="D65" s="46">
        <f>E65+F65+G65+I65+K65</f>
        <v>6965.8240000000005</v>
      </c>
      <c r="E65" s="46">
        <v>3511</v>
      </c>
      <c r="F65" s="46">
        <v>140.44</v>
      </c>
      <c r="G65" s="46">
        <v>702.2</v>
      </c>
      <c r="H65" s="48">
        <v>30</v>
      </c>
      <c r="I65" s="46">
        <f>(E65+F65+G65)*H65/100</f>
        <v>1306.0920000000001</v>
      </c>
      <c r="J65" s="48">
        <v>30</v>
      </c>
      <c r="K65" s="46">
        <f>(E65+F65+G65)*J65/100</f>
        <v>1306.0920000000001</v>
      </c>
      <c r="L65" s="46">
        <f>C65*D65*12</f>
        <v>167179.77600000001</v>
      </c>
    </row>
    <row r="66" spans="1:12" ht="18.75" customHeight="1" x14ac:dyDescent="0.2">
      <c r="A66" s="48" t="s">
        <v>302</v>
      </c>
      <c r="B66" s="49">
        <f>B65+1</f>
        <v>2</v>
      </c>
      <c r="C66" s="48">
        <v>0.5</v>
      </c>
      <c r="D66" s="46">
        <f>E66+F66+G66+I66+K66</f>
        <v>5163.3920000000007</v>
      </c>
      <c r="E66" s="46">
        <v>3016</v>
      </c>
      <c r="F66" s="46">
        <v>60.32</v>
      </c>
      <c r="G66" s="46">
        <v>150.80000000000001</v>
      </c>
      <c r="H66" s="48">
        <v>30</v>
      </c>
      <c r="I66" s="46">
        <f>(E66+F66+G66)*H66/100</f>
        <v>968.13600000000008</v>
      </c>
      <c r="J66" s="48">
        <v>30</v>
      </c>
      <c r="K66" s="46">
        <f>(E66+F66+G66)*J66/100</f>
        <v>968.13600000000008</v>
      </c>
      <c r="L66" s="46">
        <f>C66*D66*12</f>
        <v>30980.352000000006</v>
      </c>
    </row>
    <row r="67" spans="1:12" ht="20.25" customHeight="1" x14ac:dyDescent="0.2">
      <c r="A67" s="48" t="s">
        <v>303</v>
      </c>
      <c r="B67" s="49">
        <f>B66+1</f>
        <v>3</v>
      </c>
      <c r="C67" s="48">
        <v>0.5</v>
      </c>
      <c r="D67" s="46">
        <f>E67+F67+G67+I67+K67</f>
        <v>5163.3920000000007</v>
      </c>
      <c r="E67" s="46">
        <v>3016</v>
      </c>
      <c r="F67" s="46">
        <v>60.32</v>
      </c>
      <c r="G67" s="46">
        <v>150.80000000000001</v>
      </c>
      <c r="H67" s="48">
        <v>30</v>
      </c>
      <c r="I67" s="46">
        <f>(E67+F67+G67)*H67/100</f>
        <v>968.13600000000008</v>
      </c>
      <c r="J67" s="48">
        <v>30</v>
      </c>
      <c r="K67" s="46">
        <f>(E67+F67+G67)*J67/100</f>
        <v>968.13600000000008</v>
      </c>
      <c r="L67" s="50">
        <f>C67*D67*12</f>
        <v>30980.352000000006</v>
      </c>
    </row>
    <row r="68" spans="1:12" ht="22.5" customHeight="1" x14ac:dyDescent="0.2">
      <c r="A68" s="48" t="s">
        <v>299</v>
      </c>
      <c r="B68" s="49">
        <v>4</v>
      </c>
      <c r="C68" s="48"/>
      <c r="D68" s="46">
        <f>E68+F68+G68+I68+K68</f>
        <v>26984.112000000001</v>
      </c>
      <c r="E68" s="46"/>
      <c r="F68" s="46"/>
      <c r="G68" s="46">
        <v>16865.07</v>
      </c>
      <c r="H68" s="48">
        <v>30</v>
      </c>
      <c r="I68" s="46">
        <f>(E68+F68+G68)*H68/100</f>
        <v>5059.5209999999997</v>
      </c>
      <c r="J68" s="48">
        <v>30</v>
      </c>
      <c r="K68" s="46">
        <f>(E68+F68+G68)*J68/100</f>
        <v>5059.5209999999997</v>
      </c>
      <c r="L68" s="50">
        <f>D68*12</f>
        <v>323809.34400000004</v>
      </c>
    </row>
    <row r="69" spans="1:12" ht="20.25" customHeight="1" x14ac:dyDescent="0.2">
      <c r="A69" s="48" t="s">
        <v>133</v>
      </c>
      <c r="B69" s="49">
        <v>9000</v>
      </c>
      <c r="C69" s="49" t="s">
        <v>11</v>
      </c>
      <c r="D69" s="46">
        <f>SUM(D65:D68)</f>
        <v>44276.72</v>
      </c>
      <c r="E69" s="46">
        <f>SUM(E65:E68)</f>
        <v>9543</v>
      </c>
      <c r="F69" s="46">
        <f>SUM(F65:F68)</f>
        <v>261.08</v>
      </c>
      <c r="G69" s="46">
        <f>SUM(G65:G68)</f>
        <v>17868.87</v>
      </c>
      <c r="H69" s="46"/>
      <c r="I69" s="46">
        <f>SUM(I65:I68)</f>
        <v>8301.8850000000002</v>
      </c>
      <c r="J69" s="46"/>
      <c r="K69" s="46">
        <f>SUM(K65:K68)</f>
        <v>8301.8850000000002</v>
      </c>
      <c r="L69" s="241">
        <f>SUM(L65:L68)+1120.18+180645.16</f>
        <v>734715.16400000011</v>
      </c>
    </row>
    <row r="70" spans="1:12" ht="15" x14ac:dyDescent="0.25">
      <c r="A70" s="1"/>
      <c r="B70" s="1"/>
      <c r="C70" s="1"/>
      <c r="D70" s="1"/>
      <c r="E70" s="1"/>
      <c r="F70" s="1"/>
      <c r="G70" s="1"/>
      <c r="H70" s="1"/>
      <c r="I70" s="1"/>
      <c r="J70" s="400"/>
      <c r="K70" s="400"/>
      <c r="L70" s="400"/>
    </row>
    <row r="71" spans="1:12" ht="15" x14ac:dyDescent="0.25">
      <c r="A71" s="1"/>
      <c r="B71" s="1"/>
      <c r="C71" s="1"/>
      <c r="D71" s="1"/>
      <c r="E71" s="1"/>
      <c r="F71" s="1"/>
      <c r="G71" s="1"/>
      <c r="H71" s="1"/>
      <c r="I71" s="1"/>
      <c r="J71" s="52"/>
      <c r="K71" s="52"/>
      <c r="L71" s="52"/>
    </row>
    <row r="72" spans="1:12" ht="15" x14ac:dyDescent="0.25">
      <c r="A72" s="1"/>
      <c r="B72" s="1"/>
      <c r="C72" s="1"/>
      <c r="D72" s="1"/>
      <c r="E72" s="1"/>
      <c r="F72" s="1"/>
      <c r="G72" s="1"/>
      <c r="H72" s="1"/>
      <c r="I72" s="1"/>
      <c r="J72" s="52"/>
      <c r="K72" s="52"/>
      <c r="L72" s="52"/>
    </row>
    <row r="73" spans="1:12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5" x14ac:dyDescent="0.25">
      <c r="A74" s="1" t="s">
        <v>304</v>
      </c>
      <c r="B74" s="1"/>
      <c r="C74" s="53">
        <v>75880</v>
      </c>
      <c r="D74" s="1"/>
      <c r="E74" s="1"/>
      <c r="F74" s="1"/>
      <c r="G74" s="1"/>
      <c r="H74" s="1"/>
      <c r="I74" s="1"/>
      <c r="J74" s="1"/>
      <c r="K74" s="1"/>
      <c r="L74" s="1"/>
    </row>
    <row r="75" spans="1:12" ht="15" x14ac:dyDescent="0.2">
      <c r="A75" s="399" t="s">
        <v>179</v>
      </c>
      <c r="B75" s="399" t="s">
        <v>1</v>
      </c>
      <c r="C75" s="399" t="s">
        <v>180</v>
      </c>
      <c r="D75" s="399" t="s">
        <v>181</v>
      </c>
      <c r="E75" s="399"/>
      <c r="F75" s="399"/>
      <c r="G75" s="399"/>
      <c r="H75" s="399"/>
      <c r="I75" s="399"/>
      <c r="J75" s="399"/>
      <c r="K75" s="399"/>
      <c r="L75" s="399" t="s">
        <v>182</v>
      </c>
    </row>
    <row r="76" spans="1:12" ht="15" x14ac:dyDescent="0.2">
      <c r="A76" s="399"/>
      <c r="B76" s="399"/>
      <c r="C76" s="399"/>
      <c r="D76" s="399" t="s">
        <v>183</v>
      </c>
      <c r="E76" s="399" t="s">
        <v>14</v>
      </c>
      <c r="F76" s="399"/>
      <c r="G76" s="399"/>
      <c r="H76" s="399"/>
      <c r="I76" s="399"/>
      <c r="J76" s="399"/>
      <c r="K76" s="399"/>
      <c r="L76" s="399"/>
    </row>
    <row r="77" spans="1:12" ht="15" x14ac:dyDescent="0.2">
      <c r="A77" s="399"/>
      <c r="B77" s="399"/>
      <c r="C77" s="399"/>
      <c r="D77" s="399"/>
      <c r="E77" s="399" t="s">
        <v>184</v>
      </c>
      <c r="F77" s="399" t="s">
        <v>185</v>
      </c>
      <c r="G77" s="399" t="s">
        <v>186</v>
      </c>
      <c r="H77" s="399" t="s">
        <v>187</v>
      </c>
      <c r="I77" s="399"/>
      <c r="J77" s="399" t="s">
        <v>188</v>
      </c>
      <c r="K77" s="399"/>
      <c r="L77" s="399"/>
    </row>
    <row r="78" spans="1:12" ht="60" x14ac:dyDescent="0.2">
      <c r="A78" s="399"/>
      <c r="B78" s="399"/>
      <c r="C78" s="399"/>
      <c r="D78" s="399"/>
      <c r="E78" s="399"/>
      <c r="F78" s="399"/>
      <c r="G78" s="399"/>
      <c r="H78" s="49" t="s">
        <v>189</v>
      </c>
      <c r="I78" s="49" t="s">
        <v>190</v>
      </c>
      <c r="J78" s="49" t="s">
        <v>189</v>
      </c>
      <c r="K78" s="49" t="s">
        <v>191</v>
      </c>
      <c r="L78" s="399"/>
    </row>
    <row r="79" spans="1:12" ht="15" x14ac:dyDescent="0.2">
      <c r="A79" s="49">
        <v>1</v>
      </c>
      <c r="B79" s="49">
        <v>2</v>
      </c>
      <c r="C79" s="49">
        <v>3</v>
      </c>
      <c r="D79" s="49">
        <v>4</v>
      </c>
      <c r="E79" s="49">
        <v>5</v>
      </c>
      <c r="F79" s="49">
        <v>6</v>
      </c>
      <c r="G79" s="49">
        <v>7</v>
      </c>
      <c r="H79" s="49">
        <v>8</v>
      </c>
      <c r="I79" s="49">
        <v>9</v>
      </c>
      <c r="J79" s="49">
        <v>10</v>
      </c>
      <c r="K79" s="49">
        <v>11</v>
      </c>
      <c r="L79" s="49">
        <v>12</v>
      </c>
    </row>
    <row r="80" spans="1:12" ht="15" x14ac:dyDescent="0.2">
      <c r="A80" s="48" t="s">
        <v>305</v>
      </c>
      <c r="B80" s="49">
        <v>1</v>
      </c>
      <c r="C80" s="48">
        <v>2</v>
      </c>
      <c r="D80" s="46">
        <f t="shared" ref="D80:D85" si="8">E80+F80+G80+I80+K80</f>
        <v>21129.599999999999</v>
      </c>
      <c r="E80" s="46">
        <v>6603</v>
      </c>
      <c r="F80" s="46"/>
      <c r="G80" s="46">
        <v>6603</v>
      </c>
      <c r="H80" s="48">
        <v>30</v>
      </c>
      <c r="I80" s="46">
        <f t="shared" ref="I80:I86" si="9">(E80+F80+G80)*H80/100</f>
        <v>3961.8</v>
      </c>
      <c r="J80" s="48">
        <v>30</v>
      </c>
      <c r="K80" s="46">
        <f t="shared" ref="K80:K86" si="10">(E80+F80+G80)*J80/100</f>
        <v>3961.8</v>
      </c>
      <c r="L80" s="46">
        <f>'3.6.3 (2)'!L79</f>
        <v>507110.39999999997</v>
      </c>
    </row>
    <row r="81" spans="1:12" ht="15" x14ac:dyDescent="0.2">
      <c r="A81" s="48" t="s">
        <v>305</v>
      </c>
      <c r="B81" s="49">
        <f t="shared" ref="B81:B86" si="11">B80+1</f>
        <v>2</v>
      </c>
      <c r="C81" s="48">
        <v>2</v>
      </c>
      <c r="D81" s="46">
        <f t="shared" si="8"/>
        <v>22113.439999999999</v>
      </c>
      <c r="E81" s="46">
        <v>7521</v>
      </c>
      <c r="F81" s="46"/>
      <c r="G81" s="46">
        <v>6299.9</v>
      </c>
      <c r="H81" s="48">
        <v>30</v>
      </c>
      <c r="I81" s="46">
        <f t="shared" si="9"/>
        <v>4146.2700000000004</v>
      </c>
      <c r="J81" s="48">
        <v>30</v>
      </c>
      <c r="K81" s="46">
        <f t="shared" si="10"/>
        <v>4146.2700000000004</v>
      </c>
      <c r="L81" s="46">
        <f>'3.6.3 (2)'!L80</f>
        <v>530722.55999999994</v>
      </c>
    </row>
    <row r="82" spans="1:12" ht="30" x14ac:dyDescent="0.2">
      <c r="A82" s="48" t="s">
        <v>306</v>
      </c>
      <c r="B82" s="49">
        <f t="shared" si="11"/>
        <v>3</v>
      </c>
      <c r="C82" s="48">
        <v>0.5</v>
      </c>
      <c r="D82" s="46">
        <f t="shared" si="8"/>
        <v>12789.76</v>
      </c>
      <c r="E82" s="46">
        <v>6556</v>
      </c>
      <c r="F82" s="46"/>
      <c r="G82" s="46">
        <v>1437.6</v>
      </c>
      <c r="H82" s="48">
        <v>30</v>
      </c>
      <c r="I82" s="46">
        <f t="shared" si="9"/>
        <v>2398.08</v>
      </c>
      <c r="J82" s="48">
        <v>30</v>
      </c>
      <c r="K82" s="46">
        <f t="shared" si="10"/>
        <v>2398.08</v>
      </c>
      <c r="L82" s="46">
        <f>'3.6.3 (2)'!L81</f>
        <v>76738.559999999998</v>
      </c>
    </row>
    <row r="83" spans="1:12" ht="30" x14ac:dyDescent="0.2">
      <c r="A83" s="48" t="s">
        <v>307</v>
      </c>
      <c r="B83" s="49">
        <f t="shared" si="11"/>
        <v>4</v>
      </c>
      <c r="C83" s="48">
        <v>0.5</v>
      </c>
      <c r="D83" s="46">
        <f t="shared" si="8"/>
        <v>12804</v>
      </c>
      <c r="E83" s="46">
        <v>6556</v>
      </c>
      <c r="F83" s="46"/>
      <c r="G83" s="46">
        <v>1446.5</v>
      </c>
      <c r="H83" s="48">
        <v>30</v>
      </c>
      <c r="I83" s="46">
        <f t="shared" si="9"/>
        <v>2400.75</v>
      </c>
      <c r="J83" s="48">
        <v>30</v>
      </c>
      <c r="K83" s="46">
        <f t="shared" si="10"/>
        <v>2400.75</v>
      </c>
      <c r="L83" s="46">
        <f>'3.6.3 (2)'!L82</f>
        <v>76824</v>
      </c>
    </row>
    <row r="84" spans="1:12" ht="15" x14ac:dyDescent="0.2">
      <c r="A84" s="48" t="s">
        <v>308</v>
      </c>
      <c r="B84" s="49">
        <f t="shared" si="11"/>
        <v>5</v>
      </c>
      <c r="C84" s="48">
        <v>0.5</v>
      </c>
      <c r="D84" s="46">
        <f t="shared" si="8"/>
        <v>18113.439999999999</v>
      </c>
      <c r="E84" s="46">
        <v>8234</v>
      </c>
      <c r="F84" s="46"/>
      <c r="G84" s="46">
        <v>3086.9</v>
      </c>
      <c r="H84" s="48">
        <v>30</v>
      </c>
      <c r="I84" s="46">
        <f t="shared" si="9"/>
        <v>3396.27</v>
      </c>
      <c r="J84" s="48">
        <v>30</v>
      </c>
      <c r="K84" s="46">
        <f t="shared" si="10"/>
        <v>3396.27</v>
      </c>
      <c r="L84" s="46">
        <f>'3.6.3 (2)'!L83</f>
        <v>108680.63999999998</v>
      </c>
    </row>
    <row r="85" spans="1:12" ht="15" x14ac:dyDescent="0.2">
      <c r="A85" s="48" t="s">
        <v>419</v>
      </c>
      <c r="B85" s="49">
        <f t="shared" si="11"/>
        <v>6</v>
      </c>
      <c r="C85" s="48">
        <v>0.33</v>
      </c>
      <c r="D85" s="46">
        <f t="shared" si="8"/>
        <v>13088.8</v>
      </c>
      <c r="E85" s="46">
        <v>7521</v>
      </c>
      <c r="F85" s="46"/>
      <c r="G85" s="46">
        <v>659.5</v>
      </c>
      <c r="H85" s="48">
        <v>30</v>
      </c>
      <c r="I85" s="46">
        <f t="shared" si="9"/>
        <v>2454.15</v>
      </c>
      <c r="J85" s="48">
        <v>30</v>
      </c>
      <c r="K85" s="46">
        <f t="shared" si="10"/>
        <v>2454.15</v>
      </c>
      <c r="L85" s="46">
        <f>'3.6.3 (2)'!L84</f>
        <v>51831.648000000001</v>
      </c>
    </row>
    <row r="86" spans="1:12" ht="30" x14ac:dyDescent="0.2">
      <c r="A86" s="48" t="s">
        <v>309</v>
      </c>
      <c r="B86" s="49">
        <f t="shared" si="11"/>
        <v>7</v>
      </c>
      <c r="C86" s="48"/>
      <c r="D86" s="46">
        <f>E86+F86+G86+I86+K86</f>
        <v>0</v>
      </c>
      <c r="E86" s="46"/>
      <c r="F86" s="46"/>
      <c r="G86" s="46">
        <v>0</v>
      </c>
      <c r="H86" s="48">
        <v>30</v>
      </c>
      <c r="I86" s="46">
        <f t="shared" si="9"/>
        <v>0</v>
      </c>
      <c r="J86" s="48">
        <v>30</v>
      </c>
      <c r="K86" s="46">
        <f t="shared" si="10"/>
        <v>0</v>
      </c>
      <c r="L86" s="46">
        <f>'3.6.3 (2)'!L85</f>
        <v>180479.93</v>
      </c>
    </row>
    <row r="87" spans="1:12" ht="22.5" customHeight="1" x14ac:dyDescent="0.2">
      <c r="A87" s="48" t="s">
        <v>133</v>
      </c>
      <c r="B87" s="49">
        <v>9000</v>
      </c>
      <c r="C87" s="49" t="s">
        <v>11</v>
      </c>
      <c r="D87" s="46">
        <f>SUM(D80:D86)</f>
        <v>100039.03999999999</v>
      </c>
      <c r="E87" s="46">
        <f>SUM(E80:E86)</f>
        <v>42991</v>
      </c>
      <c r="F87" s="46">
        <f>SUM(F80:F86)</f>
        <v>0</v>
      </c>
      <c r="G87" s="46">
        <f>SUM(G80:G86)</f>
        <v>19533.400000000001</v>
      </c>
      <c r="H87" s="46"/>
      <c r="I87" s="46">
        <f>SUM(I80:I86)</f>
        <v>18757.320000000003</v>
      </c>
      <c r="J87" s="46"/>
      <c r="K87" s="46">
        <f>SUM(K80:K86)</f>
        <v>18757.320000000003</v>
      </c>
      <c r="L87" s="241">
        <f>SUM(L80:L86)+0.89</f>
        <v>1532388.6279999998</v>
      </c>
    </row>
    <row r="88" spans="1:12" ht="1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5" x14ac:dyDescent="0.25">
      <c r="A89" s="1" t="s">
        <v>310</v>
      </c>
      <c r="B89" s="1"/>
      <c r="C89" s="53">
        <v>74080</v>
      </c>
      <c r="D89" s="1"/>
      <c r="E89" s="1"/>
      <c r="F89" s="1"/>
      <c r="G89" s="1"/>
      <c r="H89" s="1"/>
      <c r="I89" s="1"/>
      <c r="J89" s="1"/>
      <c r="K89" s="1"/>
      <c r="L89" s="1"/>
    </row>
    <row r="90" spans="1:12" ht="15" x14ac:dyDescent="0.2">
      <c r="A90" s="399" t="s">
        <v>179</v>
      </c>
      <c r="B90" s="399" t="s">
        <v>1</v>
      </c>
      <c r="C90" s="399" t="s">
        <v>180</v>
      </c>
      <c r="D90" s="399" t="s">
        <v>181</v>
      </c>
      <c r="E90" s="399"/>
      <c r="F90" s="399"/>
      <c r="G90" s="399"/>
      <c r="H90" s="399"/>
      <c r="I90" s="399"/>
      <c r="J90" s="399"/>
      <c r="K90" s="399"/>
      <c r="L90" s="399" t="s">
        <v>182</v>
      </c>
    </row>
    <row r="91" spans="1:12" ht="15" x14ac:dyDescent="0.2">
      <c r="A91" s="399"/>
      <c r="B91" s="399"/>
      <c r="C91" s="399"/>
      <c r="D91" s="399" t="s">
        <v>183</v>
      </c>
      <c r="E91" s="399" t="s">
        <v>14</v>
      </c>
      <c r="F91" s="399"/>
      <c r="G91" s="399"/>
      <c r="H91" s="399"/>
      <c r="I91" s="399"/>
      <c r="J91" s="399"/>
      <c r="K91" s="399"/>
      <c r="L91" s="399"/>
    </row>
    <row r="92" spans="1:12" ht="15" x14ac:dyDescent="0.2">
      <c r="A92" s="399"/>
      <c r="B92" s="399"/>
      <c r="C92" s="399"/>
      <c r="D92" s="399"/>
      <c r="E92" s="399" t="s">
        <v>184</v>
      </c>
      <c r="F92" s="399" t="s">
        <v>185</v>
      </c>
      <c r="G92" s="399" t="s">
        <v>186</v>
      </c>
      <c r="H92" s="399" t="s">
        <v>187</v>
      </c>
      <c r="I92" s="399"/>
      <c r="J92" s="399" t="s">
        <v>188</v>
      </c>
      <c r="K92" s="399"/>
      <c r="L92" s="399"/>
    </row>
    <row r="93" spans="1:12" ht="60" x14ac:dyDescent="0.2">
      <c r="A93" s="399"/>
      <c r="B93" s="399"/>
      <c r="C93" s="399"/>
      <c r="D93" s="399"/>
      <c r="E93" s="399"/>
      <c r="F93" s="399"/>
      <c r="G93" s="399"/>
      <c r="H93" s="49" t="s">
        <v>189</v>
      </c>
      <c r="I93" s="49" t="s">
        <v>190</v>
      </c>
      <c r="J93" s="49" t="s">
        <v>189</v>
      </c>
      <c r="K93" s="49" t="s">
        <v>191</v>
      </c>
      <c r="L93" s="399"/>
    </row>
    <row r="94" spans="1:12" ht="15" x14ac:dyDescent="0.2">
      <c r="A94" s="49">
        <v>1</v>
      </c>
      <c r="B94" s="49">
        <v>2</v>
      </c>
      <c r="C94" s="49">
        <v>3</v>
      </c>
      <c r="D94" s="49">
        <v>4</v>
      </c>
      <c r="E94" s="49">
        <v>5</v>
      </c>
      <c r="F94" s="49">
        <v>6</v>
      </c>
      <c r="G94" s="49">
        <v>7</v>
      </c>
      <c r="H94" s="49">
        <v>8</v>
      </c>
      <c r="I94" s="49">
        <v>9</v>
      </c>
      <c r="J94" s="49">
        <v>10</v>
      </c>
      <c r="K94" s="49">
        <v>11</v>
      </c>
      <c r="L94" s="49">
        <v>12</v>
      </c>
    </row>
    <row r="95" spans="1:12" ht="30" x14ac:dyDescent="0.2">
      <c r="A95" s="48" t="s">
        <v>311</v>
      </c>
      <c r="B95" s="49">
        <v>1</v>
      </c>
      <c r="C95" s="48">
        <v>3</v>
      </c>
      <c r="D95" s="46">
        <v>11716.96</v>
      </c>
      <c r="E95" s="46">
        <v>3964</v>
      </c>
      <c r="F95" s="46">
        <v>2309.4</v>
      </c>
      <c r="G95" s="46">
        <v>1049.7</v>
      </c>
      <c r="H95" s="48">
        <v>30</v>
      </c>
      <c r="I95" s="46">
        <f>(E95+F95+G95)*H95/100</f>
        <v>2196.9299999999998</v>
      </c>
      <c r="J95" s="48">
        <v>30</v>
      </c>
      <c r="K95" s="46">
        <f>(E95+F95+G95)*J95/100</f>
        <v>2196.9299999999998</v>
      </c>
      <c r="L95" s="46">
        <f>'3.6.3 (2)'!L94</f>
        <v>421810.55999999994</v>
      </c>
    </row>
    <row r="96" spans="1:12" ht="15" x14ac:dyDescent="0.2">
      <c r="A96" s="48" t="s">
        <v>312</v>
      </c>
      <c r="B96" s="49">
        <f>B95+1</f>
        <v>2</v>
      </c>
      <c r="C96" s="48">
        <v>1</v>
      </c>
      <c r="D96" s="46">
        <v>6851.2</v>
      </c>
      <c r="E96" s="46">
        <v>4282</v>
      </c>
      <c r="F96" s="46"/>
      <c r="G96" s="46"/>
      <c r="H96" s="48">
        <v>30</v>
      </c>
      <c r="I96" s="46">
        <f>(E96+F96+G96)*H96/100</f>
        <v>1284.5999999999999</v>
      </c>
      <c r="J96" s="48">
        <v>30</v>
      </c>
      <c r="K96" s="46">
        <f>(E96+F96+G96)*J96/100</f>
        <v>1284.5999999999999</v>
      </c>
      <c r="L96" s="46">
        <f>'3.6.3 (2)'!L95</f>
        <v>82214.400000000009</v>
      </c>
    </row>
    <row r="97" spans="1:14" ht="15" x14ac:dyDescent="0.2">
      <c r="A97" s="48" t="s">
        <v>293</v>
      </c>
      <c r="B97" s="49">
        <f>B96+1</f>
        <v>3</v>
      </c>
      <c r="C97" s="48">
        <v>1</v>
      </c>
      <c r="D97" s="46">
        <v>26734.959999999999</v>
      </c>
      <c r="E97" s="46">
        <v>16008</v>
      </c>
      <c r="F97" s="46"/>
      <c r="G97" s="46">
        <v>701.35</v>
      </c>
      <c r="H97" s="48">
        <v>30</v>
      </c>
      <c r="I97" s="46">
        <f>(E97+F97+G97)*H97/100</f>
        <v>5012.8049999999994</v>
      </c>
      <c r="J97" s="48">
        <v>30</v>
      </c>
      <c r="K97" s="46">
        <f>(E97+F97+G97)*J97/100</f>
        <v>5012.8049999999994</v>
      </c>
      <c r="L97" s="46">
        <f>'3.6.3 (2)'!L96</f>
        <v>320819.52</v>
      </c>
    </row>
    <row r="98" spans="1:14" ht="15" x14ac:dyDescent="0.2">
      <c r="A98" s="48" t="s">
        <v>314</v>
      </c>
      <c r="B98" s="49">
        <v>4</v>
      </c>
      <c r="C98" s="48"/>
      <c r="D98" s="46">
        <f>E98+F98+G98+I98+K98</f>
        <v>0</v>
      </c>
      <c r="E98" s="46"/>
      <c r="F98" s="46"/>
      <c r="G98" s="46">
        <v>0</v>
      </c>
      <c r="H98" s="48">
        <v>30</v>
      </c>
      <c r="I98" s="46">
        <f>(E98+F98+G98)*H98/100</f>
        <v>0</v>
      </c>
      <c r="J98" s="48">
        <v>30</v>
      </c>
      <c r="K98" s="46">
        <f>(E98+F98+G98)*J98/100</f>
        <v>0</v>
      </c>
      <c r="L98" s="46">
        <f>'3.6.3 (2)'!L97</f>
        <v>0</v>
      </c>
    </row>
    <row r="99" spans="1:14" ht="15" x14ac:dyDescent="0.2">
      <c r="A99" s="48" t="s">
        <v>299</v>
      </c>
      <c r="B99" s="49">
        <f>B98+1</f>
        <v>5</v>
      </c>
      <c r="C99" s="48"/>
      <c r="D99" s="46">
        <f>E99+F99+G99+I99+K99</f>
        <v>21477.151999999998</v>
      </c>
      <c r="E99" s="46"/>
      <c r="F99" s="46"/>
      <c r="G99" s="46">
        <v>13423.22</v>
      </c>
      <c r="H99" s="48">
        <v>30</v>
      </c>
      <c r="I99" s="46">
        <f>(E99+F99+G99)*H99/100</f>
        <v>4026.9659999999999</v>
      </c>
      <c r="J99" s="48">
        <v>30</v>
      </c>
      <c r="K99" s="46">
        <f>(E99+F99+G99)*J99/100</f>
        <v>4026.9659999999999</v>
      </c>
      <c r="L99" s="46">
        <f>'3.6.3 (2)'!L98</f>
        <v>444387.78</v>
      </c>
    </row>
    <row r="100" spans="1:14" ht="19.5" customHeight="1" x14ac:dyDescent="0.2">
      <c r="A100" s="48" t="s">
        <v>133</v>
      </c>
      <c r="B100" s="49">
        <v>9000</v>
      </c>
      <c r="C100" s="49" t="s">
        <v>11</v>
      </c>
      <c r="D100" s="46">
        <f>SUM(D95:D99)</f>
        <v>66780.271999999997</v>
      </c>
      <c r="E100" s="46">
        <f>SUM(E95:E99)</f>
        <v>24254</v>
      </c>
      <c r="F100" s="46">
        <f>SUM(F95:F99)</f>
        <v>2309.4</v>
      </c>
      <c r="G100" s="46">
        <f>SUM(G95:G99)</f>
        <v>15174.27</v>
      </c>
      <c r="H100" s="46"/>
      <c r="I100" s="46">
        <f>SUM(I95:I99)</f>
        <v>12521.300999999999</v>
      </c>
      <c r="J100" s="46"/>
      <c r="K100" s="46">
        <f>SUM(K95:K99)</f>
        <v>12521.300999999999</v>
      </c>
      <c r="L100" s="241">
        <f>SUM(L95:L99)-59.1</f>
        <v>1269173.1599999999</v>
      </c>
    </row>
    <row r="101" spans="1:14" ht="15" x14ac:dyDescent="0.25">
      <c r="A101" s="1"/>
      <c r="B101" s="1"/>
      <c r="C101" s="1"/>
      <c r="D101" s="1"/>
      <c r="E101" s="1"/>
      <c r="F101" s="1" t="s">
        <v>582</v>
      </c>
      <c r="G101" s="1"/>
      <c r="H101" s="1"/>
      <c r="I101" s="1"/>
      <c r="J101" s="1"/>
      <c r="K101" s="1"/>
      <c r="L101" s="1"/>
    </row>
    <row r="102" spans="1:14" ht="36.75" customHeight="1" x14ac:dyDescent="0.25">
      <c r="A102" s="1" t="s">
        <v>343</v>
      </c>
      <c r="B102" s="1"/>
      <c r="C102" s="1"/>
      <c r="D102" s="1"/>
      <c r="E102" s="1"/>
      <c r="F102" s="175" t="s">
        <v>485</v>
      </c>
      <c r="G102" s="170" t="s">
        <v>215</v>
      </c>
      <c r="H102" s="170" t="s">
        <v>486</v>
      </c>
      <c r="I102" s="170" t="s">
        <v>487</v>
      </c>
      <c r="J102" s="170" t="s">
        <v>488</v>
      </c>
      <c r="K102" s="175" t="s">
        <v>72</v>
      </c>
      <c r="L102" s="1"/>
    </row>
    <row r="103" spans="1:14" ht="120" customHeight="1" x14ac:dyDescent="0.25">
      <c r="A103" s="49" t="s">
        <v>344</v>
      </c>
      <c r="B103" s="49" t="s">
        <v>1</v>
      </c>
      <c r="C103" s="49" t="s">
        <v>345</v>
      </c>
      <c r="D103" s="49" t="s">
        <v>346</v>
      </c>
      <c r="E103" s="1"/>
      <c r="F103" s="175">
        <v>1</v>
      </c>
      <c r="G103" s="170" t="s">
        <v>489</v>
      </c>
      <c r="H103" s="175">
        <v>1</v>
      </c>
      <c r="I103" s="175">
        <v>1</v>
      </c>
      <c r="J103" s="176">
        <v>5179.72</v>
      </c>
      <c r="K103" s="177">
        <f>J103</f>
        <v>5179.72</v>
      </c>
      <c r="L103" s="1"/>
    </row>
    <row r="104" spans="1:14" ht="35.25" customHeight="1" x14ac:dyDescent="0.25">
      <c r="A104" s="48" t="s">
        <v>553</v>
      </c>
      <c r="B104" s="48">
        <v>1</v>
      </c>
      <c r="C104" s="54">
        <v>5760.36</v>
      </c>
      <c r="D104" s="55">
        <f>C104*9</f>
        <v>51843.24</v>
      </c>
      <c r="E104" s="1"/>
      <c r="F104" s="1"/>
      <c r="G104" s="1"/>
      <c r="H104" s="1"/>
      <c r="I104" s="1"/>
      <c r="J104" s="1"/>
      <c r="K104" s="1"/>
      <c r="L104" s="1"/>
    </row>
    <row r="105" spans="1:14" ht="57" customHeight="1" x14ac:dyDescent="0.25">
      <c r="A105" s="48" t="s">
        <v>551</v>
      </c>
      <c r="B105" s="48">
        <v>2</v>
      </c>
      <c r="C105" s="54">
        <v>11520.74</v>
      </c>
      <c r="D105" s="55">
        <f t="shared" ref="D105:D116" si="12">C105*9</f>
        <v>103686.66</v>
      </c>
      <c r="E105" s="1"/>
      <c r="F105" s="56"/>
      <c r="G105" s="171"/>
      <c r="H105" s="56"/>
      <c r="I105" s="56"/>
      <c r="J105" s="56"/>
      <c r="K105" s="56"/>
      <c r="L105" s="58"/>
    </row>
    <row r="106" spans="1:14" ht="15" x14ac:dyDescent="0.25">
      <c r="A106" s="48" t="s">
        <v>587</v>
      </c>
      <c r="B106" s="48">
        <v>3</v>
      </c>
      <c r="C106" s="54">
        <v>5760.36</v>
      </c>
      <c r="D106" s="55">
        <f t="shared" si="12"/>
        <v>51843.24</v>
      </c>
      <c r="E106" s="1"/>
      <c r="F106" s="56"/>
      <c r="G106" s="171"/>
      <c r="H106" s="140"/>
      <c r="I106" s="140"/>
      <c r="J106" s="140">
        <f>L18+L30+L57+L69+L87+L100+K114+0.01</f>
        <v>29386830.270800006</v>
      </c>
      <c r="K106" s="178">
        <v>4</v>
      </c>
      <c r="L106" s="64"/>
    </row>
    <row r="107" spans="1:14" ht="30" x14ac:dyDescent="0.25">
      <c r="A107" s="48" t="s">
        <v>554</v>
      </c>
      <c r="B107" s="35">
        <v>4</v>
      </c>
      <c r="C107" s="54">
        <v>8640.5499999999993</v>
      </c>
      <c r="D107" s="55">
        <f t="shared" si="12"/>
        <v>77764.95</v>
      </c>
      <c r="E107" s="1"/>
      <c r="F107" s="1"/>
      <c r="G107" s="1"/>
      <c r="H107" s="1"/>
      <c r="I107" s="1"/>
      <c r="J107" s="65">
        <f>D117</f>
        <v>832257.45999999985</v>
      </c>
      <c r="K107" s="1">
        <v>2</v>
      </c>
      <c r="L107" s="1"/>
      <c r="N107" s="28">
        <f>J106+J107</f>
        <v>30219087.730800007</v>
      </c>
    </row>
    <row r="108" spans="1:14" ht="30" x14ac:dyDescent="0.25">
      <c r="A108" s="48" t="s">
        <v>588</v>
      </c>
      <c r="B108" s="35">
        <v>5</v>
      </c>
      <c r="C108" s="54">
        <v>11059.9</v>
      </c>
      <c r="D108" s="55">
        <f t="shared" si="12"/>
        <v>99539.099999999991</v>
      </c>
      <c r="E108" s="1"/>
      <c r="F108" s="1"/>
      <c r="G108" s="1"/>
      <c r="H108" s="1"/>
      <c r="I108" s="1"/>
      <c r="J108" s="65">
        <f>K103</f>
        <v>5179.72</v>
      </c>
      <c r="K108" s="1">
        <v>5</v>
      </c>
      <c r="L108" s="1"/>
    </row>
    <row r="109" spans="1:14" ht="45" x14ac:dyDescent="0.25">
      <c r="A109" s="48" t="s">
        <v>552</v>
      </c>
      <c r="B109" s="35">
        <v>6</v>
      </c>
      <c r="C109" s="54">
        <v>5760.36</v>
      </c>
      <c r="D109" s="55">
        <f t="shared" si="12"/>
        <v>51843.24</v>
      </c>
      <c r="E109" s="1"/>
      <c r="F109" s="1"/>
      <c r="G109" s="1"/>
      <c r="H109" s="1"/>
      <c r="I109" s="1"/>
      <c r="J109" s="65">
        <f>J106+J107+J108</f>
        <v>30224267.450800005</v>
      </c>
      <c r="K109" s="1"/>
      <c r="L109" s="1"/>
    </row>
    <row r="110" spans="1:14" ht="30" x14ac:dyDescent="0.25">
      <c r="A110" s="48" t="s">
        <v>589</v>
      </c>
      <c r="B110" s="35">
        <v>7</v>
      </c>
      <c r="C110" s="54">
        <v>4608.29</v>
      </c>
      <c r="D110" s="55">
        <f t="shared" si="12"/>
        <v>41474.61</v>
      </c>
      <c r="E110" s="1"/>
      <c r="F110" s="1"/>
      <c r="G110" s="1"/>
      <c r="H110" s="1"/>
      <c r="I110" s="1"/>
      <c r="J110" s="1"/>
      <c r="K110" s="1"/>
      <c r="L110" s="1"/>
    </row>
    <row r="111" spans="1:14" ht="24" customHeight="1" x14ac:dyDescent="0.25">
      <c r="A111" s="48" t="s">
        <v>555</v>
      </c>
      <c r="B111" s="35">
        <v>8</v>
      </c>
      <c r="C111" s="54">
        <v>4608.29</v>
      </c>
      <c r="D111" s="55">
        <f t="shared" si="12"/>
        <v>41474.61</v>
      </c>
      <c r="E111" s="1"/>
      <c r="F111" s="1"/>
      <c r="G111" s="1"/>
      <c r="H111" s="1"/>
      <c r="I111" s="1"/>
      <c r="J111" s="1"/>
      <c r="K111" s="1"/>
      <c r="L111" s="1"/>
    </row>
    <row r="112" spans="1:14" ht="24" customHeight="1" x14ac:dyDescent="0.25">
      <c r="A112" s="48" t="s">
        <v>591</v>
      </c>
      <c r="B112" s="35">
        <v>9</v>
      </c>
      <c r="C112" s="54">
        <v>8640.5499999999993</v>
      </c>
      <c r="D112" s="55">
        <f t="shared" si="12"/>
        <v>77764.95</v>
      </c>
      <c r="E112" s="1"/>
      <c r="F112" s="132" t="s">
        <v>572</v>
      </c>
      <c r="G112" s="132"/>
      <c r="H112" s="1"/>
      <c r="I112" s="1"/>
      <c r="J112" s="1"/>
      <c r="K112" s="1"/>
      <c r="L112" s="1"/>
    </row>
    <row r="113" spans="1:11" ht="45" x14ac:dyDescent="0.25">
      <c r="A113" s="48" t="s">
        <v>590</v>
      </c>
      <c r="B113" s="35">
        <v>10</v>
      </c>
      <c r="C113" s="54">
        <v>5760.36</v>
      </c>
      <c r="D113" s="55">
        <f t="shared" si="12"/>
        <v>51843.24</v>
      </c>
      <c r="F113" s="174" t="s">
        <v>485</v>
      </c>
      <c r="G113" s="57" t="s">
        <v>215</v>
      </c>
      <c r="H113" s="57" t="s">
        <v>558</v>
      </c>
      <c r="I113" s="57" t="s">
        <v>487</v>
      </c>
      <c r="J113" s="228" t="s">
        <v>488</v>
      </c>
      <c r="K113" s="174" t="s">
        <v>72</v>
      </c>
    </row>
    <row r="114" spans="1:11" ht="45" x14ac:dyDescent="0.25">
      <c r="A114" s="48" t="s">
        <v>592</v>
      </c>
      <c r="B114" s="35">
        <v>11</v>
      </c>
      <c r="C114" s="54">
        <v>7680.49</v>
      </c>
      <c r="D114" s="55">
        <f t="shared" si="12"/>
        <v>69124.41</v>
      </c>
      <c r="F114" s="174">
        <v>1</v>
      </c>
      <c r="G114" s="57" t="s">
        <v>571</v>
      </c>
      <c r="H114" s="175">
        <v>38</v>
      </c>
      <c r="I114" s="175">
        <v>402</v>
      </c>
      <c r="J114" s="245">
        <v>7500</v>
      </c>
      <c r="K114" s="244">
        <v>3501758.83</v>
      </c>
    </row>
    <row r="115" spans="1:11" ht="30" x14ac:dyDescent="0.25">
      <c r="A115" s="48" t="s">
        <v>593</v>
      </c>
      <c r="B115" s="35">
        <v>12</v>
      </c>
      <c r="C115" s="54">
        <v>5760.36</v>
      </c>
      <c r="D115" s="55">
        <f t="shared" si="12"/>
        <v>51843.24</v>
      </c>
    </row>
    <row r="116" spans="1:11" ht="15" x14ac:dyDescent="0.25">
      <c r="A116" s="48" t="s">
        <v>594</v>
      </c>
      <c r="B116" s="35">
        <v>13</v>
      </c>
      <c r="C116" s="54">
        <v>6912.44</v>
      </c>
      <c r="D116" s="55">
        <f t="shared" si="12"/>
        <v>62211.96</v>
      </c>
    </row>
    <row r="117" spans="1:11" ht="15" x14ac:dyDescent="0.25">
      <c r="A117" s="35" t="s">
        <v>347</v>
      </c>
      <c r="B117" s="35"/>
      <c r="C117" s="54"/>
      <c r="D117" s="165">
        <f>SUM(D104:D116)+0.01</f>
        <v>832257.45999999985</v>
      </c>
    </row>
  </sheetData>
  <mergeCells count="73">
    <mergeCell ref="A3:A6"/>
    <mergeCell ref="B3:B6"/>
    <mergeCell ref="C3:C6"/>
    <mergeCell ref="D3:K3"/>
    <mergeCell ref="L21:L24"/>
    <mergeCell ref="D22:D24"/>
    <mergeCell ref="E22:K22"/>
    <mergeCell ref="E23:E24"/>
    <mergeCell ref="F23:F24"/>
    <mergeCell ref="G23:G24"/>
    <mergeCell ref="L3:L6"/>
    <mergeCell ref="D4:D6"/>
    <mergeCell ref="E4:K4"/>
    <mergeCell ref="E5:E6"/>
    <mergeCell ref="F5:F6"/>
    <mergeCell ref="G5:G6"/>
    <mergeCell ref="H5:I5"/>
    <mergeCell ref="J5:K5"/>
    <mergeCell ref="H23:I23"/>
    <mergeCell ref="J23:K23"/>
    <mergeCell ref="H41:I41"/>
    <mergeCell ref="J41:K41"/>
    <mergeCell ref="A39:A42"/>
    <mergeCell ref="B39:B42"/>
    <mergeCell ref="C39:C42"/>
    <mergeCell ref="D39:K39"/>
    <mergeCell ref="A21:A24"/>
    <mergeCell ref="B21:B24"/>
    <mergeCell ref="C21:C24"/>
    <mergeCell ref="D21:K21"/>
    <mergeCell ref="D60:K60"/>
    <mergeCell ref="L39:L42"/>
    <mergeCell ref="D40:D42"/>
    <mergeCell ref="E40:K40"/>
    <mergeCell ref="E41:E42"/>
    <mergeCell ref="F41:F42"/>
    <mergeCell ref="G41:G42"/>
    <mergeCell ref="L60:L63"/>
    <mergeCell ref="D61:D63"/>
    <mergeCell ref="E61:K61"/>
    <mergeCell ref="E62:E63"/>
    <mergeCell ref="F62:F63"/>
    <mergeCell ref="G62:G63"/>
    <mergeCell ref="H62:I62"/>
    <mergeCell ref="J62:K62"/>
    <mergeCell ref="J70:L70"/>
    <mergeCell ref="A75:A78"/>
    <mergeCell ref="B75:B78"/>
    <mergeCell ref="C75:C78"/>
    <mergeCell ref="D75:K75"/>
    <mergeCell ref="L75:L78"/>
    <mergeCell ref="D76:D78"/>
    <mergeCell ref="E76:K76"/>
    <mergeCell ref="E77:E78"/>
    <mergeCell ref="F77:F78"/>
    <mergeCell ref="G77:G78"/>
    <mergeCell ref="H77:I77"/>
    <mergeCell ref="J77:K77"/>
    <mergeCell ref="A60:A63"/>
    <mergeCell ref="B60:B63"/>
    <mergeCell ref="A90:A93"/>
    <mergeCell ref="B90:B93"/>
    <mergeCell ref="C90:C93"/>
    <mergeCell ref="C60:C63"/>
    <mergeCell ref="D90:K90"/>
    <mergeCell ref="L90:L93"/>
    <mergeCell ref="D91:D93"/>
    <mergeCell ref="E91:K91"/>
    <mergeCell ref="E92:E93"/>
    <mergeCell ref="F92:F93"/>
    <mergeCell ref="G92:G93"/>
    <mergeCell ref="H92:I92"/>
    <mergeCell ref="J92:K9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12"/>
  <sheetViews>
    <sheetView view="pageBreakPreview" zoomScaleSheetLayoutView="100" workbookViewId="0">
      <selection activeCell="L108" sqref="L108"/>
    </sheetView>
  </sheetViews>
  <sheetFormatPr defaultRowHeight="12.75" x14ac:dyDescent="0.2"/>
  <cols>
    <col min="1" max="1" width="22.28515625" style="3" customWidth="1"/>
    <col min="2" max="2" width="15" style="3" customWidth="1"/>
    <col min="3" max="4" width="14.28515625" style="3" customWidth="1"/>
    <col min="5" max="5" width="14.5703125" style="3" customWidth="1"/>
    <col min="6" max="10" width="13.28515625" style="3" customWidth="1"/>
    <col min="11" max="11" width="16.85546875" style="3" customWidth="1"/>
    <col min="12" max="12" width="19.28515625" style="3" customWidth="1"/>
    <col min="13" max="14" width="9.140625" style="3"/>
    <col min="15" max="15" width="10.85546875" style="3" bestFit="1" customWidth="1"/>
    <col min="16" max="16384" width="9.140625" style="3"/>
  </cols>
  <sheetData>
    <row r="1" spans="1:15" ht="15" x14ac:dyDescent="0.25">
      <c r="A1" s="1" t="s">
        <v>586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2.75" customHeight="1" x14ac:dyDescent="0.25">
      <c r="A2" s="1" t="s">
        <v>427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5" ht="12.75" customHeight="1" x14ac:dyDescent="0.2">
      <c r="A3" s="399" t="s">
        <v>179</v>
      </c>
      <c r="B3" s="399" t="s">
        <v>1</v>
      </c>
      <c r="C3" s="399" t="s">
        <v>180</v>
      </c>
      <c r="D3" s="399" t="s">
        <v>181</v>
      </c>
      <c r="E3" s="399"/>
      <c r="F3" s="399"/>
      <c r="G3" s="399"/>
      <c r="H3" s="399"/>
      <c r="I3" s="399"/>
      <c r="J3" s="399"/>
      <c r="K3" s="399"/>
      <c r="L3" s="399" t="s">
        <v>182</v>
      </c>
    </row>
    <row r="4" spans="1:15" ht="33" customHeight="1" x14ac:dyDescent="0.2">
      <c r="A4" s="399"/>
      <c r="B4" s="399"/>
      <c r="C4" s="399"/>
      <c r="D4" s="399" t="s">
        <v>183</v>
      </c>
      <c r="E4" s="399" t="s">
        <v>14</v>
      </c>
      <c r="F4" s="399"/>
      <c r="G4" s="399"/>
      <c r="H4" s="399"/>
      <c r="I4" s="399"/>
      <c r="J4" s="399"/>
      <c r="K4" s="399"/>
      <c r="L4" s="399"/>
    </row>
    <row r="5" spans="1:15" ht="15" x14ac:dyDescent="0.2">
      <c r="A5" s="399"/>
      <c r="B5" s="399"/>
      <c r="C5" s="399"/>
      <c r="D5" s="399"/>
      <c r="E5" s="399" t="s">
        <v>184</v>
      </c>
      <c r="F5" s="399" t="s">
        <v>185</v>
      </c>
      <c r="G5" s="399" t="s">
        <v>186</v>
      </c>
      <c r="H5" s="399" t="s">
        <v>187</v>
      </c>
      <c r="I5" s="399"/>
      <c r="J5" s="399" t="s">
        <v>188</v>
      </c>
      <c r="K5" s="399"/>
      <c r="L5" s="399"/>
    </row>
    <row r="6" spans="1:15" ht="60" x14ac:dyDescent="0.2">
      <c r="A6" s="399"/>
      <c r="B6" s="399"/>
      <c r="C6" s="399"/>
      <c r="D6" s="399"/>
      <c r="E6" s="399"/>
      <c r="F6" s="399"/>
      <c r="G6" s="399"/>
      <c r="H6" s="49" t="s">
        <v>189</v>
      </c>
      <c r="I6" s="49" t="s">
        <v>190</v>
      </c>
      <c r="J6" s="49" t="s">
        <v>189</v>
      </c>
      <c r="K6" s="49" t="s">
        <v>191</v>
      </c>
      <c r="L6" s="399"/>
      <c r="O6" s="42"/>
    </row>
    <row r="7" spans="1:15" ht="15" x14ac:dyDescent="0.2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</row>
    <row r="8" spans="1:15" ht="15" x14ac:dyDescent="0.2">
      <c r="A8" s="48" t="s">
        <v>280</v>
      </c>
      <c r="B8" s="49">
        <v>1</v>
      </c>
      <c r="C8" s="48">
        <v>0.5</v>
      </c>
      <c r="D8" s="46">
        <f t="shared" ref="D8:D17" si="0">E8+F8+G8+I8+K8</f>
        <v>13503.76</v>
      </c>
      <c r="E8" s="46">
        <v>8234</v>
      </c>
      <c r="F8" s="46"/>
      <c r="G8" s="46">
        <v>205.85</v>
      </c>
      <c r="H8" s="48">
        <v>30</v>
      </c>
      <c r="I8" s="46">
        <f t="shared" ref="I8:I17" si="1">(E8+F8+G8)*H8/100</f>
        <v>2531.9549999999999</v>
      </c>
      <c r="J8" s="48">
        <v>30</v>
      </c>
      <c r="K8" s="46">
        <f t="shared" ref="K8:K17" si="2">(E8+F8+G8)*J8/100</f>
        <v>2531.9549999999999</v>
      </c>
      <c r="L8" s="50">
        <f>'3.6.4 (2)'!L8</f>
        <v>81022.559999999998</v>
      </c>
    </row>
    <row r="9" spans="1:15" ht="15" x14ac:dyDescent="0.2">
      <c r="A9" s="48" t="s">
        <v>281</v>
      </c>
      <c r="B9" s="49">
        <f t="shared" ref="B9:B16" si="3">B8+1</f>
        <v>2</v>
      </c>
      <c r="C9" s="48">
        <v>1</v>
      </c>
      <c r="D9" s="46">
        <f t="shared" si="0"/>
        <v>12033.599999999999</v>
      </c>
      <c r="E9" s="46">
        <v>7521</v>
      </c>
      <c r="F9" s="46"/>
      <c r="G9" s="46">
        <v>0</v>
      </c>
      <c r="H9" s="48">
        <v>30</v>
      </c>
      <c r="I9" s="46">
        <f t="shared" si="1"/>
        <v>2256.3000000000002</v>
      </c>
      <c r="J9" s="48">
        <v>30</v>
      </c>
      <c r="K9" s="46">
        <f t="shared" si="2"/>
        <v>2256.3000000000002</v>
      </c>
      <c r="L9" s="50">
        <f>'3.6.4 (2)'!L9</f>
        <v>144403.19999999998</v>
      </c>
    </row>
    <row r="10" spans="1:15" ht="20.25" customHeight="1" x14ac:dyDescent="0.2">
      <c r="A10" s="48" t="s">
        <v>282</v>
      </c>
      <c r="B10" s="49">
        <f t="shared" si="3"/>
        <v>3</v>
      </c>
      <c r="C10" s="48">
        <v>1</v>
      </c>
      <c r="D10" s="46">
        <f t="shared" si="0"/>
        <v>11534.880000000001</v>
      </c>
      <c r="E10" s="46">
        <v>6866</v>
      </c>
      <c r="F10" s="46"/>
      <c r="G10" s="46">
        <v>343.3</v>
      </c>
      <c r="H10" s="48">
        <v>30</v>
      </c>
      <c r="I10" s="46">
        <f t="shared" si="1"/>
        <v>2162.79</v>
      </c>
      <c r="J10" s="48">
        <v>30</v>
      </c>
      <c r="K10" s="46">
        <f t="shared" si="2"/>
        <v>2162.79</v>
      </c>
      <c r="L10" s="50">
        <f>'3.6.4 (2)'!L10</f>
        <v>138418.56</v>
      </c>
    </row>
    <row r="11" spans="1:15" ht="20.25" customHeight="1" x14ac:dyDescent="0.2">
      <c r="A11" s="48" t="s">
        <v>283</v>
      </c>
      <c r="B11" s="49">
        <f t="shared" si="3"/>
        <v>4</v>
      </c>
      <c r="C11" s="48">
        <v>0.5</v>
      </c>
      <c r="D11" s="46">
        <f t="shared" si="0"/>
        <v>13174.400000000001</v>
      </c>
      <c r="E11" s="46">
        <v>8234</v>
      </c>
      <c r="F11" s="46"/>
      <c r="G11" s="46"/>
      <c r="H11" s="48">
        <v>30</v>
      </c>
      <c r="I11" s="46">
        <f t="shared" si="1"/>
        <v>2470.1999999999998</v>
      </c>
      <c r="J11" s="48">
        <v>30</v>
      </c>
      <c r="K11" s="46">
        <f t="shared" si="2"/>
        <v>2470.1999999999998</v>
      </c>
      <c r="L11" s="50">
        <f>'3.6.4 (2)'!L11</f>
        <v>79046.400000000009</v>
      </c>
    </row>
    <row r="12" spans="1:15" ht="21.75" customHeight="1" x14ac:dyDescent="0.2">
      <c r="A12" s="48" t="s">
        <v>284</v>
      </c>
      <c r="B12" s="49">
        <f t="shared" si="3"/>
        <v>5</v>
      </c>
      <c r="C12" s="48">
        <v>0.5</v>
      </c>
      <c r="D12" s="46">
        <f t="shared" si="0"/>
        <v>13174.400000000001</v>
      </c>
      <c r="E12" s="46">
        <v>8234</v>
      </c>
      <c r="F12" s="46"/>
      <c r="G12" s="46"/>
      <c r="H12" s="48">
        <v>30</v>
      </c>
      <c r="I12" s="46">
        <f t="shared" si="1"/>
        <v>2470.1999999999998</v>
      </c>
      <c r="J12" s="48">
        <v>30</v>
      </c>
      <c r="K12" s="46">
        <f t="shared" si="2"/>
        <v>2470.1999999999998</v>
      </c>
      <c r="L12" s="50">
        <f>'3.6.4 (2)'!L12</f>
        <v>79046.400000000009</v>
      </c>
    </row>
    <row r="13" spans="1:15" ht="24.75" customHeight="1" x14ac:dyDescent="0.2">
      <c r="A13" s="48" t="s">
        <v>285</v>
      </c>
      <c r="B13" s="49">
        <f t="shared" si="3"/>
        <v>6</v>
      </c>
      <c r="C13" s="48">
        <v>4.3899999999999997</v>
      </c>
      <c r="D13" s="46">
        <f t="shared" si="0"/>
        <v>12172.8</v>
      </c>
      <c r="E13" s="46">
        <v>7226</v>
      </c>
      <c r="F13" s="46"/>
      <c r="G13" s="46">
        <v>382</v>
      </c>
      <c r="H13" s="48">
        <v>30</v>
      </c>
      <c r="I13" s="46">
        <f t="shared" si="1"/>
        <v>2282.4</v>
      </c>
      <c r="J13" s="48">
        <v>30</v>
      </c>
      <c r="K13" s="46">
        <f t="shared" si="2"/>
        <v>2282.4</v>
      </c>
      <c r="L13" s="50">
        <f>'3.6.4 (2)'!L13</f>
        <v>641263.10399999982</v>
      </c>
    </row>
    <row r="14" spans="1:15" ht="20.25" customHeight="1" x14ac:dyDescent="0.2">
      <c r="A14" s="48" t="s">
        <v>286</v>
      </c>
      <c r="B14" s="49">
        <f t="shared" si="3"/>
        <v>7</v>
      </c>
      <c r="C14" s="48">
        <v>52.83</v>
      </c>
      <c r="D14" s="46">
        <f t="shared" si="0"/>
        <v>24433.920000000002</v>
      </c>
      <c r="E14" s="46">
        <v>8234</v>
      </c>
      <c r="F14" s="46">
        <v>799.4</v>
      </c>
      <c r="G14" s="46">
        <v>6237.8</v>
      </c>
      <c r="H14" s="48">
        <v>30</v>
      </c>
      <c r="I14" s="46">
        <f t="shared" si="1"/>
        <v>4581.3599999999997</v>
      </c>
      <c r="J14" s="48">
        <v>30</v>
      </c>
      <c r="K14" s="46">
        <f t="shared" si="2"/>
        <v>4581.3599999999997</v>
      </c>
      <c r="L14" s="50">
        <f>'3.6.4 (2)'!L14</f>
        <v>15490127.923200002</v>
      </c>
    </row>
    <row r="15" spans="1:15" ht="19.5" customHeight="1" x14ac:dyDescent="0.2">
      <c r="A15" s="48" t="s">
        <v>421</v>
      </c>
      <c r="B15" s="49">
        <f t="shared" si="3"/>
        <v>8</v>
      </c>
      <c r="C15" s="48">
        <v>0.5</v>
      </c>
      <c r="D15" s="46">
        <f t="shared" si="0"/>
        <v>11561.599999999999</v>
      </c>
      <c r="E15" s="46">
        <v>7226</v>
      </c>
      <c r="F15" s="46"/>
      <c r="G15" s="46"/>
      <c r="H15" s="48">
        <v>30</v>
      </c>
      <c r="I15" s="46">
        <f t="shared" si="1"/>
        <v>2167.8000000000002</v>
      </c>
      <c r="J15" s="48">
        <v>30</v>
      </c>
      <c r="K15" s="46">
        <f t="shared" si="2"/>
        <v>2167.8000000000002</v>
      </c>
      <c r="L15" s="50">
        <f>'3.6.4 (2)'!L15</f>
        <v>69369.599999999991</v>
      </c>
    </row>
    <row r="16" spans="1:15" ht="20.25" customHeight="1" x14ac:dyDescent="0.2">
      <c r="A16" s="48" t="s">
        <v>287</v>
      </c>
      <c r="B16" s="49">
        <f t="shared" si="3"/>
        <v>9</v>
      </c>
      <c r="C16" s="48">
        <v>1</v>
      </c>
      <c r="D16" s="46">
        <f t="shared" si="0"/>
        <v>13092.32</v>
      </c>
      <c r="E16" s="46">
        <v>7226</v>
      </c>
      <c r="F16" s="46"/>
      <c r="G16" s="46">
        <v>956.7</v>
      </c>
      <c r="H16" s="48">
        <v>30</v>
      </c>
      <c r="I16" s="46">
        <f t="shared" si="1"/>
        <v>2454.81</v>
      </c>
      <c r="J16" s="48">
        <v>30</v>
      </c>
      <c r="K16" s="46">
        <f t="shared" si="2"/>
        <v>2454.81</v>
      </c>
      <c r="L16" s="50">
        <f>'3.6.4 (2)'!L16</f>
        <v>157107.84</v>
      </c>
    </row>
    <row r="17" spans="1:12" ht="33.75" customHeight="1" x14ac:dyDescent="0.2">
      <c r="A17" s="48" t="s">
        <v>288</v>
      </c>
      <c r="B17" s="49"/>
      <c r="C17" s="48"/>
      <c r="D17" s="46">
        <f t="shared" si="0"/>
        <v>0</v>
      </c>
      <c r="E17" s="46"/>
      <c r="F17" s="46"/>
      <c r="G17" s="46">
        <v>0</v>
      </c>
      <c r="H17" s="48">
        <v>30</v>
      </c>
      <c r="I17" s="46">
        <f t="shared" si="1"/>
        <v>0</v>
      </c>
      <c r="J17" s="48">
        <v>30</v>
      </c>
      <c r="K17" s="46">
        <f t="shared" si="2"/>
        <v>0</v>
      </c>
      <c r="L17" s="50">
        <f>'3.6.4 (2)'!L17</f>
        <v>1594141.44</v>
      </c>
    </row>
    <row r="18" spans="1:12" ht="18.75" customHeight="1" x14ac:dyDescent="0.2">
      <c r="A18" s="48" t="s">
        <v>133</v>
      </c>
      <c r="B18" s="49">
        <v>9000</v>
      </c>
      <c r="C18" s="49" t="s">
        <v>11</v>
      </c>
      <c r="D18" s="46">
        <f>SUM(D8:D17)</f>
        <v>124681.68000000002</v>
      </c>
      <c r="E18" s="46">
        <f>SUM(E8:E17)</f>
        <v>69001</v>
      </c>
      <c r="F18" s="46">
        <f>SUM(F8:F17)</f>
        <v>799.4</v>
      </c>
      <c r="G18" s="46">
        <f>SUM(G8:G17)</f>
        <v>8125.65</v>
      </c>
      <c r="H18" s="46"/>
      <c r="I18" s="46">
        <f>SUM(I8:I17)</f>
        <v>23377.814999999999</v>
      </c>
      <c r="J18" s="46"/>
      <c r="K18" s="46">
        <f>SUM(K8:K17)</f>
        <v>23377.814999999999</v>
      </c>
      <c r="L18" s="241">
        <f>'3.6.4 (2)'!L18</f>
        <v>18474023.917200003</v>
      </c>
    </row>
    <row r="19" spans="1:12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5" x14ac:dyDescent="0.25">
      <c r="A20" s="1" t="s">
        <v>431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5" x14ac:dyDescent="0.2">
      <c r="A21" s="399" t="s">
        <v>179</v>
      </c>
      <c r="B21" s="399" t="s">
        <v>1</v>
      </c>
      <c r="C21" s="399" t="s">
        <v>180</v>
      </c>
      <c r="D21" s="399" t="s">
        <v>181</v>
      </c>
      <c r="E21" s="399"/>
      <c r="F21" s="399"/>
      <c r="G21" s="399"/>
      <c r="H21" s="399"/>
      <c r="I21" s="399"/>
      <c r="J21" s="399"/>
      <c r="K21" s="399"/>
      <c r="L21" s="399" t="s">
        <v>182</v>
      </c>
    </row>
    <row r="22" spans="1:12" ht="15" x14ac:dyDescent="0.2">
      <c r="A22" s="399"/>
      <c r="B22" s="399"/>
      <c r="C22" s="399"/>
      <c r="D22" s="399" t="s">
        <v>183</v>
      </c>
      <c r="E22" s="399" t="s">
        <v>14</v>
      </c>
      <c r="F22" s="399"/>
      <c r="G22" s="399"/>
      <c r="H22" s="399"/>
      <c r="I22" s="399"/>
      <c r="J22" s="399"/>
      <c r="K22" s="399"/>
      <c r="L22" s="399"/>
    </row>
    <row r="23" spans="1:12" ht="15" x14ac:dyDescent="0.2">
      <c r="A23" s="399"/>
      <c r="B23" s="399"/>
      <c r="C23" s="399"/>
      <c r="D23" s="399"/>
      <c r="E23" s="399" t="s">
        <v>184</v>
      </c>
      <c r="F23" s="399" t="s">
        <v>185</v>
      </c>
      <c r="G23" s="399" t="s">
        <v>186</v>
      </c>
      <c r="H23" s="399" t="s">
        <v>187</v>
      </c>
      <c r="I23" s="399"/>
      <c r="J23" s="399" t="s">
        <v>188</v>
      </c>
      <c r="K23" s="399"/>
      <c r="L23" s="399"/>
    </row>
    <row r="24" spans="1:12" ht="60" x14ac:dyDescent="0.2">
      <c r="A24" s="399"/>
      <c r="B24" s="399"/>
      <c r="C24" s="399"/>
      <c r="D24" s="399"/>
      <c r="E24" s="399"/>
      <c r="F24" s="399"/>
      <c r="G24" s="399"/>
      <c r="H24" s="49" t="s">
        <v>189</v>
      </c>
      <c r="I24" s="49" t="s">
        <v>190</v>
      </c>
      <c r="J24" s="49" t="s">
        <v>189</v>
      </c>
      <c r="K24" s="49" t="s">
        <v>191</v>
      </c>
      <c r="L24" s="399"/>
    </row>
    <row r="25" spans="1:12" ht="15" x14ac:dyDescent="0.2">
      <c r="A25" s="49">
        <v>1</v>
      </c>
      <c r="B25" s="49">
        <v>2</v>
      </c>
      <c r="C25" s="49">
        <v>3</v>
      </c>
      <c r="D25" s="49">
        <v>4</v>
      </c>
      <c r="E25" s="49">
        <v>5</v>
      </c>
      <c r="F25" s="49">
        <v>6</v>
      </c>
      <c r="G25" s="49">
        <v>7</v>
      </c>
      <c r="H25" s="49">
        <v>8</v>
      </c>
      <c r="I25" s="49">
        <v>9</v>
      </c>
      <c r="J25" s="49">
        <v>10</v>
      </c>
      <c r="K25" s="49">
        <v>11</v>
      </c>
      <c r="L25" s="49">
        <v>12</v>
      </c>
    </row>
    <row r="26" spans="1:12" ht="30.75" customHeight="1" x14ac:dyDescent="0.2">
      <c r="A26" s="48" t="s">
        <v>289</v>
      </c>
      <c r="B26" s="49">
        <v>1</v>
      </c>
      <c r="C26" s="48">
        <v>0.99</v>
      </c>
      <c r="D26" s="46">
        <f>'3.6.4 (2)'!D26</f>
        <v>12341.12</v>
      </c>
      <c r="E26" s="46">
        <f>'3.6.4 (2)'!E26</f>
        <v>6556</v>
      </c>
      <c r="F26" s="46"/>
      <c r="G26" s="46">
        <f>'3.6.4 (2)'!G26</f>
        <v>1157.2</v>
      </c>
      <c r="H26" s="48">
        <v>30</v>
      </c>
      <c r="I26" s="46">
        <f>(E26+F26+G26)*H26/100</f>
        <v>2313.96</v>
      </c>
      <c r="J26" s="48">
        <v>30</v>
      </c>
      <c r="K26" s="46">
        <f>(E26+F26+G26)*J26/100</f>
        <v>2313.96</v>
      </c>
      <c r="L26" s="46">
        <f>C26*D26*12</f>
        <v>146612.5056</v>
      </c>
    </row>
    <row r="27" spans="1:12" ht="29.25" customHeight="1" x14ac:dyDescent="0.2">
      <c r="A27" s="48" t="s">
        <v>290</v>
      </c>
      <c r="B27" s="49">
        <f>B26+1</f>
        <v>2</v>
      </c>
      <c r="C27" s="48">
        <v>1</v>
      </c>
      <c r="D27" s="46">
        <f>'3.6.4 (2)'!D27</f>
        <v>12440</v>
      </c>
      <c r="E27" s="46">
        <f>'3.6.4 (2)'!E27</f>
        <v>6866</v>
      </c>
      <c r="F27" s="46"/>
      <c r="G27" s="46">
        <v>909</v>
      </c>
      <c r="H27" s="48">
        <v>30</v>
      </c>
      <c r="I27" s="46">
        <f>(E27+F27+G27)*H27/100</f>
        <v>2332.5</v>
      </c>
      <c r="J27" s="48">
        <v>30</v>
      </c>
      <c r="K27" s="46">
        <f>(E27+F27+G27)*J27/100</f>
        <v>2332.5</v>
      </c>
      <c r="L27" s="46">
        <f>C27*D27*12</f>
        <v>149280</v>
      </c>
    </row>
    <row r="28" spans="1:12" ht="30.75" customHeight="1" x14ac:dyDescent="0.2">
      <c r="A28" s="48" t="s">
        <v>290</v>
      </c>
      <c r="B28" s="49">
        <f>B27+1</f>
        <v>3</v>
      </c>
      <c r="C28" s="48"/>
      <c r="D28" s="46">
        <f>E28+F28+G28+I28+K28</f>
        <v>0</v>
      </c>
      <c r="E28" s="46"/>
      <c r="F28" s="46"/>
      <c r="G28" s="46"/>
      <c r="H28" s="48">
        <v>30</v>
      </c>
      <c r="I28" s="46">
        <f>(E28+F28+G28)*H28/100</f>
        <v>0</v>
      </c>
      <c r="J28" s="48">
        <v>30</v>
      </c>
      <c r="K28" s="46">
        <f>(E28+F28+G28)*J28/100</f>
        <v>0</v>
      </c>
      <c r="L28" s="46">
        <f>C28*D28*12</f>
        <v>0</v>
      </c>
    </row>
    <row r="29" spans="1:12" ht="30.75" customHeight="1" x14ac:dyDescent="0.2">
      <c r="A29" s="48" t="s">
        <v>288</v>
      </c>
      <c r="B29" s="49"/>
      <c r="C29" s="48"/>
      <c r="D29" s="46">
        <f>'3.6.4 (2)'!D29</f>
        <v>32638.67</v>
      </c>
      <c r="E29" s="46"/>
      <c r="F29" s="46"/>
      <c r="G29" s="46">
        <f>'3.6.4 (2)'!G29</f>
        <v>20399.169999999998</v>
      </c>
      <c r="H29" s="48">
        <v>30</v>
      </c>
      <c r="I29" s="46">
        <f>(E29+F29+G29)*H29/100</f>
        <v>6119.7510000000002</v>
      </c>
      <c r="J29" s="48">
        <v>30</v>
      </c>
      <c r="K29" s="46">
        <f>(E29+F29+G29)*J29/100</f>
        <v>6119.7510000000002</v>
      </c>
      <c r="L29" s="46">
        <f>D29*12</f>
        <v>391664.04</v>
      </c>
    </row>
    <row r="30" spans="1:12" ht="20.25" customHeight="1" x14ac:dyDescent="0.2">
      <c r="A30" s="48" t="s">
        <v>133</v>
      </c>
      <c r="B30" s="49">
        <v>9000</v>
      </c>
      <c r="C30" s="49" t="s">
        <v>11</v>
      </c>
      <c r="D30" s="46">
        <f>SUM(D26:D29)</f>
        <v>57419.79</v>
      </c>
      <c r="E30" s="46">
        <f>SUM(E26:E29)</f>
        <v>13422</v>
      </c>
      <c r="F30" s="46">
        <f>SUM(F26:F29)</f>
        <v>0</v>
      </c>
      <c r="G30" s="46">
        <f>SUM(G26:G29)</f>
        <v>22465.37</v>
      </c>
      <c r="H30" s="46"/>
      <c r="I30" s="46">
        <f>SUM(I26:I29)</f>
        <v>10766.210999999999</v>
      </c>
      <c r="J30" s="46"/>
      <c r="K30" s="46">
        <f>SUM(K26:K29)</f>
        <v>10766.210999999999</v>
      </c>
      <c r="L30" s="241">
        <f>L26+L27+L28+L29+0.02</f>
        <v>687556.56560000009</v>
      </c>
    </row>
    <row r="31" spans="1:12" ht="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" x14ac:dyDescent="0.25">
      <c r="A32" s="1" t="s">
        <v>428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x14ac:dyDescent="0.2">
      <c r="A33" s="399" t="s">
        <v>179</v>
      </c>
      <c r="B33" s="399" t="s">
        <v>1</v>
      </c>
      <c r="C33" s="399" t="s">
        <v>180</v>
      </c>
      <c r="D33" s="399" t="s">
        <v>181</v>
      </c>
      <c r="E33" s="399"/>
      <c r="F33" s="399"/>
      <c r="G33" s="399"/>
      <c r="H33" s="399"/>
      <c r="I33" s="399"/>
      <c r="J33" s="399"/>
      <c r="K33" s="399"/>
      <c r="L33" s="399" t="s">
        <v>182</v>
      </c>
    </row>
    <row r="34" spans="1:12" ht="15" x14ac:dyDescent="0.2">
      <c r="A34" s="399"/>
      <c r="B34" s="399"/>
      <c r="C34" s="399"/>
      <c r="D34" s="399" t="s">
        <v>183</v>
      </c>
      <c r="E34" s="399" t="s">
        <v>14</v>
      </c>
      <c r="F34" s="399"/>
      <c r="G34" s="399"/>
      <c r="H34" s="399"/>
      <c r="I34" s="399"/>
      <c r="J34" s="399"/>
      <c r="K34" s="399"/>
      <c r="L34" s="399"/>
    </row>
    <row r="35" spans="1:12" ht="15" x14ac:dyDescent="0.2">
      <c r="A35" s="399"/>
      <c r="B35" s="399"/>
      <c r="C35" s="399"/>
      <c r="D35" s="399"/>
      <c r="E35" s="399" t="s">
        <v>184</v>
      </c>
      <c r="F35" s="399" t="s">
        <v>185</v>
      </c>
      <c r="G35" s="399" t="s">
        <v>186</v>
      </c>
      <c r="H35" s="399" t="s">
        <v>187</v>
      </c>
      <c r="I35" s="399"/>
      <c r="J35" s="399" t="s">
        <v>188</v>
      </c>
      <c r="K35" s="399"/>
      <c r="L35" s="399"/>
    </row>
    <row r="36" spans="1:12" ht="60" x14ac:dyDescent="0.2">
      <c r="A36" s="399"/>
      <c r="B36" s="399"/>
      <c r="C36" s="399"/>
      <c r="D36" s="399"/>
      <c r="E36" s="399"/>
      <c r="F36" s="399"/>
      <c r="G36" s="399"/>
      <c r="H36" s="49" t="s">
        <v>189</v>
      </c>
      <c r="I36" s="49" t="s">
        <v>190</v>
      </c>
      <c r="J36" s="49" t="s">
        <v>189</v>
      </c>
      <c r="K36" s="49" t="s">
        <v>191</v>
      </c>
      <c r="L36" s="399"/>
    </row>
    <row r="37" spans="1:12" ht="15" x14ac:dyDescent="0.2">
      <c r="A37" s="49">
        <v>1</v>
      </c>
      <c r="B37" s="49">
        <v>2</v>
      </c>
      <c r="C37" s="49">
        <v>3</v>
      </c>
      <c r="D37" s="49">
        <v>4</v>
      </c>
      <c r="E37" s="49">
        <v>5</v>
      </c>
      <c r="F37" s="49">
        <v>6</v>
      </c>
      <c r="G37" s="49">
        <v>7</v>
      </c>
      <c r="H37" s="49">
        <v>8</v>
      </c>
      <c r="I37" s="49">
        <v>9</v>
      </c>
      <c r="J37" s="49">
        <v>10</v>
      </c>
      <c r="K37" s="49">
        <v>11</v>
      </c>
      <c r="L37" s="49">
        <v>12</v>
      </c>
    </row>
    <row r="38" spans="1:12" ht="21" customHeight="1" x14ac:dyDescent="0.2">
      <c r="A38" s="48" t="s">
        <v>556</v>
      </c>
      <c r="B38" s="49">
        <v>1</v>
      </c>
      <c r="C38" s="48">
        <v>1</v>
      </c>
      <c r="D38" s="46">
        <f t="shared" ref="D38:D49" si="4">E38+F38+G38+I38+K38</f>
        <v>29882.159999999996</v>
      </c>
      <c r="E38" s="46">
        <f>'3.6.4 (2)'!E44</f>
        <v>17787</v>
      </c>
      <c r="F38" s="46"/>
      <c r="G38" s="46">
        <f>'3.6.4 (2)'!G44</f>
        <v>889.35</v>
      </c>
      <c r="H38" s="48">
        <v>30</v>
      </c>
      <c r="I38" s="46">
        <f t="shared" ref="I38:I50" si="5">(E38+F38+G38)*H38/100</f>
        <v>5602.9049999999997</v>
      </c>
      <c r="J38" s="48">
        <v>30</v>
      </c>
      <c r="K38" s="46">
        <f t="shared" ref="K38:K50" si="6">(E38+F38+G38)*J38/100</f>
        <v>5602.9049999999997</v>
      </c>
      <c r="L38" s="50">
        <f>'3.6.4 (2)'!L44</f>
        <v>358585.91999999993</v>
      </c>
    </row>
    <row r="39" spans="1:12" ht="30" x14ac:dyDescent="0.2">
      <c r="A39" s="48" t="s">
        <v>291</v>
      </c>
      <c r="B39" s="49">
        <f>B38+1</f>
        <v>2</v>
      </c>
      <c r="C39" s="48">
        <v>1</v>
      </c>
      <c r="D39" s="46">
        <f t="shared" si="4"/>
        <v>24902</v>
      </c>
      <c r="E39" s="46">
        <f>'3.6.4 (2)'!E45</f>
        <v>12451</v>
      </c>
      <c r="F39" s="46"/>
      <c r="G39" s="46">
        <f>'3.6.4 (2)'!G45</f>
        <v>3112.75</v>
      </c>
      <c r="H39" s="48">
        <v>30</v>
      </c>
      <c r="I39" s="46">
        <f t="shared" si="5"/>
        <v>4669.125</v>
      </c>
      <c r="J39" s="48">
        <v>30</v>
      </c>
      <c r="K39" s="46">
        <f t="shared" si="6"/>
        <v>4669.125</v>
      </c>
      <c r="L39" s="50">
        <f>'3.6.4 (2)'!L45</f>
        <v>298824</v>
      </c>
    </row>
    <row r="40" spans="1:12" ht="30" x14ac:dyDescent="0.2">
      <c r="A40" s="48" t="s">
        <v>292</v>
      </c>
      <c r="B40" s="49">
        <f>B39+1</f>
        <v>3</v>
      </c>
      <c r="C40" s="48">
        <v>1</v>
      </c>
      <c r="D40" s="46">
        <f t="shared" si="4"/>
        <v>20794.400000000001</v>
      </c>
      <c r="E40" s="46">
        <f>'3.6.4 (2)'!E46</f>
        <v>12451</v>
      </c>
      <c r="F40" s="46"/>
      <c r="G40" s="46">
        <v>545.5</v>
      </c>
      <c r="H40" s="48">
        <v>30</v>
      </c>
      <c r="I40" s="46">
        <f t="shared" si="5"/>
        <v>3898.95</v>
      </c>
      <c r="J40" s="48">
        <v>30</v>
      </c>
      <c r="K40" s="46">
        <f t="shared" si="6"/>
        <v>3898.95</v>
      </c>
      <c r="L40" s="50">
        <f>'3.6.4 (2)'!L46</f>
        <v>249532.80000000002</v>
      </c>
    </row>
    <row r="41" spans="1:12" ht="30" x14ac:dyDescent="0.2">
      <c r="A41" s="48" t="s">
        <v>291</v>
      </c>
      <c r="B41" s="49">
        <f>B40+1</f>
        <v>4</v>
      </c>
      <c r="C41" s="48">
        <v>1</v>
      </c>
      <c r="D41" s="46">
        <f t="shared" si="4"/>
        <v>20419.648000000001</v>
      </c>
      <c r="E41" s="46">
        <f>'3.6.4 (2)'!E47</f>
        <v>12451</v>
      </c>
      <c r="F41" s="46"/>
      <c r="G41" s="46">
        <f>'3.6.4 (2)'!G47</f>
        <v>311.27999999999997</v>
      </c>
      <c r="H41" s="48">
        <v>30</v>
      </c>
      <c r="I41" s="46">
        <f t="shared" si="5"/>
        <v>3828.6840000000002</v>
      </c>
      <c r="J41" s="51">
        <v>30</v>
      </c>
      <c r="K41" s="46">
        <f t="shared" si="6"/>
        <v>3828.6840000000002</v>
      </c>
      <c r="L41" s="50">
        <f>'3.6.4 (2)'!L47</f>
        <v>245035.77600000001</v>
      </c>
    </row>
    <row r="42" spans="1:12" ht="30" x14ac:dyDescent="0.2">
      <c r="A42" s="48" t="s">
        <v>420</v>
      </c>
      <c r="B42" s="49">
        <v>5</v>
      </c>
      <c r="C42" s="48">
        <v>1</v>
      </c>
      <c r="D42" s="46">
        <f t="shared" si="4"/>
        <v>20917.679999999997</v>
      </c>
      <c r="E42" s="46">
        <f>'3.6.4 (2)'!E48</f>
        <v>12451</v>
      </c>
      <c r="F42" s="46"/>
      <c r="G42" s="46">
        <f>'3.6.4 (2)'!G48</f>
        <v>622.54999999999995</v>
      </c>
      <c r="H42" s="48">
        <v>30</v>
      </c>
      <c r="I42" s="46">
        <f t="shared" si="5"/>
        <v>3922.0650000000001</v>
      </c>
      <c r="J42" s="48">
        <v>30</v>
      </c>
      <c r="K42" s="46">
        <f t="shared" si="6"/>
        <v>3922.0650000000001</v>
      </c>
      <c r="L42" s="50">
        <f>'3.6.4 (2)'!L48</f>
        <v>251012.15999999997</v>
      </c>
    </row>
    <row r="43" spans="1:12" ht="15" x14ac:dyDescent="0.2">
      <c r="A43" s="48" t="s">
        <v>313</v>
      </c>
      <c r="B43" s="49">
        <v>6</v>
      </c>
      <c r="C43" s="48">
        <v>0.8</v>
      </c>
      <c r="D43" s="46">
        <f t="shared" si="4"/>
        <v>8221.44</v>
      </c>
      <c r="E43" s="46">
        <f>'3.6.4 (2)'!E49</f>
        <v>4282</v>
      </c>
      <c r="F43" s="46"/>
      <c r="G43" s="46">
        <f>'3.6.4 (2)'!G49</f>
        <v>856.4</v>
      </c>
      <c r="H43" s="48">
        <v>30</v>
      </c>
      <c r="I43" s="46">
        <f t="shared" si="5"/>
        <v>1541.52</v>
      </c>
      <c r="J43" s="48">
        <v>30</v>
      </c>
      <c r="K43" s="46">
        <f t="shared" si="6"/>
        <v>1541.52</v>
      </c>
      <c r="L43" s="50">
        <f>'3.6.4 (2)'!L49</f>
        <v>78925.824000000008</v>
      </c>
    </row>
    <row r="44" spans="1:12" ht="30" x14ac:dyDescent="0.2">
      <c r="A44" s="48" t="s">
        <v>294</v>
      </c>
      <c r="B44" s="49">
        <f>B43+1</f>
        <v>7</v>
      </c>
      <c r="C44" s="48">
        <v>1</v>
      </c>
      <c r="D44" s="46">
        <f t="shared" si="4"/>
        <v>6542.0800000000008</v>
      </c>
      <c r="E44" s="46">
        <f>'3.6.4 (2)'!E50</f>
        <v>3894</v>
      </c>
      <c r="F44" s="46"/>
      <c r="G44" s="46">
        <f>'3.6.4 (2)'!G50</f>
        <v>194.8</v>
      </c>
      <c r="H44" s="48">
        <v>30</v>
      </c>
      <c r="I44" s="46">
        <f t="shared" si="5"/>
        <v>1226.6400000000001</v>
      </c>
      <c r="J44" s="48">
        <v>30</v>
      </c>
      <c r="K44" s="46">
        <f t="shared" si="6"/>
        <v>1226.6400000000001</v>
      </c>
      <c r="L44" s="50">
        <f>'3.6.4 (2)'!L50</f>
        <v>78504.960000000006</v>
      </c>
    </row>
    <row r="45" spans="1:12" ht="15" x14ac:dyDescent="0.2">
      <c r="A45" s="48" t="s">
        <v>295</v>
      </c>
      <c r="B45" s="49">
        <v>8</v>
      </c>
      <c r="C45" s="48">
        <v>1</v>
      </c>
      <c r="D45" s="46">
        <f t="shared" si="4"/>
        <v>7536.32</v>
      </c>
      <c r="E45" s="46">
        <f>'3.6.4 (2)'!E51</f>
        <v>4282</v>
      </c>
      <c r="F45" s="46"/>
      <c r="G45" s="46">
        <f>'3.6.4 (2)'!G51</f>
        <v>428.2</v>
      </c>
      <c r="H45" s="48">
        <v>30</v>
      </c>
      <c r="I45" s="46">
        <f t="shared" si="5"/>
        <v>1413.06</v>
      </c>
      <c r="J45" s="48">
        <v>30</v>
      </c>
      <c r="K45" s="46">
        <f t="shared" si="6"/>
        <v>1413.06</v>
      </c>
      <c r="L45" s="50">
        <f>'3.6.4 (2)'!L51</f>
        <v>90435.839999999997</v>
      </c>
    </row>
    <row r="46" spans="1:12" ht="15" x14ac:dyDescent="0.2">
      <c r="A46" s="48" t="s">
        <v>296</v>
      </c>
      <c r="B46" s="49">
        <f>B45+1</f>
        <v>9</v>
      </c>
      <c r="C46" s="48">
        <v>1</v>
      </c>
      <c r="D46" s="46">
        <f t="shared" si="4"/>
        <v>12033.599999999999</v>
      </c>
      <c r="E46" s="46">
        <f>'3.6.4 (2)'!E52</f>
        <v>7521</v>
      </c>
      <c r="F46" s="46"/>
      <c r="G46" s="46">
        <f>'3.6.4 (2)'!G52</f>
        <v>0</v>
      </c>
      <c r="H46" s="48">
        <v>30</v>
      </c>
      <c r="I46" s="46">
        <f t="shared" si="5"/>
        <v>2256.3000000000002</v>
      </c>
      <c r="J46" s="48">
        <v>30</v>
      </c>
      <c r="K46" s="46">
        <f t="shared" si="6"/>
        <v>2256.3000000000002</v>
      </c>
      <c r="L46" s="50">
        <f>'3.6.4 (2)'!L52</f>
        <v>144403.19999999998</v>
      </c>
    </row>
    <row r="47" spans="1:12" ht="30" x14ac:dyDescent="0.2">
      <c r="A47" s="48" t="s">
        <v>297</v>
      </c>
      <c r="B47" s="49">
        <v>10</v>
      </c>
      <c r="C47" s="48">
        <v>0.25</v>
      </c>
      <c r="D47" s="46">
        <f t="shared" si="4"/>
        <v>6851.2000000000007</v>
      </c>
      <c r="E47" s="46">
        <f>'3.6.4 (2)'!E53</f>
        <v>4282</v>
      </c>
      <c r="F47" s="46"/>
      <c r="G47" s="46"/>
      <c r="H47" s="48">
        <v>30</v>
      </c>
      <c r="I47" s="46">
        <f t="shared" si="5"/>
        <v>1284.5999999999999</v>
      </c>
      <c r="J47" s="48">
        <v>30</v>
      </c>
      <c r="K47" s="46">
        <f t="shared" si="6"/>
        <v>1284.5999999999999</v>
      </c>
      <c r="L47" s="50">
        <f>'3.6.4 (2)'!L53</f>
        <v>20553.600000000002</v>
      </c>
    </row>
    <row r="48" spans="1:12" ht="45" x14ac:dyDescent="0.2">
      <c r="A48" s="48" t="s">
        <v>549</v>
      </c>
      <c r="B48" s="49"/>
      <c r="C48" s="48"/>
      <c r="D48" s="46">
        <f t="shared" si="4"/>
        <v>17360.112000000001</v>
      </c>
      <c r="E48" s="46"/>
      <c r="F48" s="46"/>
      <c r="G48" s="46">
        <f>'3.6.4 (2)'!G54</f>
        <v>10850.07</v>
      </c>
      <c r="H48" s="48">
        <v>30</v>
      </c>
      <c r="I48" s="46">
        <f t="shared" si="5"/>
        <v>3255.0209999999997</v>
      </c>
      <c r="J48" s="48">
        <v>30</v>
      </c>
      <c r="K48" s="46">
        <f t="shared" si="6"/>
        <v>3255.0209999999997</v>
      </c>
      <c r="L48" s="50">
        <f>'3.6.4 (2)'!L54</f>
        <v>208321.34400000001</v>
      </c>
    </row>
    <row r="49" spans="1:12" ht="30" x14ac:dyDescent="0.2">
      <c r="A49" s="48" t="s">
        <v>298</v>
      </c>
      <c r="B49" s="49"/>
      <c r="C49" s="48"/>
      <c r="D49" s="46">
        <f t="shared" si="4"/>
        <v>48857.696000000004</v>
      </c>
      <c r="E49" s="46"/>
      <c r="F49" s="46"/>
      <c r="G49" s="46">
        <f>'3.6.4 (2)'!G55</f>
        <v>30536.06</v>
      </c>
      <c r="H49" s="48">
        <v>30</v>
      </c>
      <c r="I49" s="46">
        <f t="shared" si="5"/>
        <v>9160.8180000000011</v>
      </c>
      <c r="J49" s="48">
        <v>30</v>
      </c>
      <c r="K49" s="46">
        <f t="shared" si="6"/>
        <v>9160.8180000000011</v>
      </c>
      <c r="L49" s="50">
        <f>'3.6.4 (2)'!L55</f>
        <v>586292.35199999996</v>
      </c>
    </row>
    <row r="50" spans="1:12" ht="18.75" customHeight="1" x14ac:dyDescent="0.2">
      <c r="A50" s="48" t="s">
        <v>299</v>
      </c>
      <c r="B50" s="49"/>
      <c r="C50" s="48"/>
      <c r="D50" s="46">
        <f>E50+F50+G50+I50+K50</f>
        <v>48072</v>
      </c>
      <c r="E50" s="46"/>
      <c r="F50" s="46"/>
      <c r="G50" s="46">
        <f>'3.6.4 (2)'!G56</f>
        <v>30045</v>
      </c>
      <c r="H50" s="48">
        <v>30</v>
      </c>
      <c r="I50" s="46">
        <f t="shared" si="5"/>
        <v>9013.5</v>
      </c>
      <c r="J50" s="48">
        <v>30</v>
      </c>
      <c r="K50" s="46">
        <f t="shared" si="6"/>
        <v>9013.5</v>
      </c>
      <c r="L50" s="50">
        <f>'3.6.4 (2)'!L56-309669.74</f>
        <v>576864</v>
      </c>
    </row>
    <row r="51" spans="1:12" ht="22.5" customHeight="1" x14ac:dyDescent="0.2">
      <c r="A51" s="48" t="s">
        <v>133</v>
      </c>
      <c r="B51" s="49">
        <v>9000</v>
      </c>
      <c r="C51" s="49" t="s">
        <v>11</v>
      </c>
      <c r="D51" s="46">
        <f>SUM(D38:D50)</f>
        <v>272390.33600000001</v>
      </c>
      <c r="E51" s="46">
        <f>SUM(E38:E50)</f>
        <v>91852</v>
      </c>
      <c r="F51" s="46">
        <f>SUM(F38:F50)</f>
        <v>0</v>
      </c>
      <c r="G51" s="46">
        <f>SUM(G38:G50)</f>
        <v>78391.960000000006</v>
      </c>
      <c r="H51" s="46"/>
      <c r="I51" s="46">
        <f>SUM(I38:I50)</f>
        <v>51073.187999999995</v>
      </c>
      <c r="J51" s="46"/>
      <c r="K51" s="46">
        <f>SUM(K38:K50)</f>
        <v>51073.187999999995</v>
      </c>
      <c r="L51" s="241">
        <f>SUM(L38:L50)</f>
        <v>3187291.7760000001</v>
      </c>
    </row>
    <row r="52" spans="1:12" ht="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5" x14ac:dyDescent="0.25">
      <c r="A53" s="1" t="s">
        <v>300</v>
      </c>
      <c r="B53" s="1" t="s">
        <v>429</v>
      </c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5" x14ac:dyDescent="0.2">
      <c r="A54" s="399" t="s">
        <v>179</v>
      </c>
      <c r="B54" s="399" t="s">
        <v>1</v>
      </c>
      <c r="C54" s="399" t="s">
        <v>180</v>
      </c>
      <c r="D54" s="399" t="s">
        <v>181</v>
      </c>
      <c r="E54" s="399"/>
      <c r="F54" s="399"/>
      <c r="G54" s="399"/>
      <c r="H54" s="399"/>
      <c r="I54" s="399"/>
      <c r="J54" s="399"/>
      <c r="K54" s="399"/>
      <c r="L54" s="399" t="s">
        <v>182</v>
      </c>
    </row>
    <row r="55" spans="1:12" ht="15" x14ac:dyDescent="0.2">
      <c r="A55" s="399"/>
      <c r="B55" s="399"/>
      <c r="C55" s="399"/>
      <c r="D55" s="399" t="s">
        <v>183</v>
      </c>
      <c r="E55" s="399" t="s">
        <v>14</v>
      </c>
      <c r="F55" s="399"/>
      <c r="G55" s="399"/>
      <c r="H55" s="399"/>
      <c r="I55" s="399"/>
      <c r="J55" s="399"/>
      <c r="K55" s="399"/>
      <c r="L55" s="399"/>
    </row>
    <row r="56" spans="1:12" ht="15" x14ac:dyDescent="0.2">
      <c r="A56" s="399"/>
      <c r="B56" s="399"/>
      <c r="C56" s="399"/>
      <c r="D56" s="399"/>
      <c r="E56" s="399" t="s">
        <v>184</v>
      </c>
      <c r="F56" s="399" t="s">
        <v>185</v>
      </c>
      <c r="G56" s="399" t="s">
        <v>186</v>
      </c>
      <c r="H56" s="399" t="s">
        <v>187</v>
      </c>
      <c r="I56" s="399"/>
      <c r="J56" s="399" t="s">
        <v>188</v>
      </c>
      <c r="K56" s="399"/>
      <c r="L56" s="399"/>
    </row>
    <row r="57" spans="1:12" ht="60" x14ac:dyDescent="0.2">
      <c r="A57" s="399"/>
      <c r="B57" s="399"/>
      <c r="C57" s="399"/>
      <c r="D57" s="399"/>
      <c r="E57" s="399"/>
      <c r="F57" s="399"/>
      <c r="G57" s="399"/>
      <c r="H57" s="49" t="s">
        <v>189</v>
      </c>
      <c r="I57" s="49" t="s">
        <v>190</v>
      </c>
      <c r="J57" s="49" t="s">
        <v>189</v>
      </c>
      <c r="K57" s="49" t="s">
        <v>191</v>
      </c>
      <c r="L57" s="399"/>
    </row>
    <row r="58" spans="1:12" ht="15" x14ac:dyDescent="0.2">
      <c r="A58" s="49">
        <v>1</v>
      </c>
      <c r="B58" s="49">
        <v>2</v>
      </c>
      <c r="C58" s="49">
        <v>3</v>
      </c>
      <c r="D58" s="49">
        <v>4</v>
      </c>
      <c r="E58" s="49">
        <v>5</v>
      </c>
      <c r="F58" s="49">
        <v>6</v>
      </c>
      <c r="G58" s="49">
        <v>7</v>
      </c>
      <c r="H58" s="49">
        <v>8</v>
      </c>
      <c r="I58" s="49">
        <v>9</v>
      </c>
      <c r="J58" s="49">
        <v>10</v>
      </c>
      <c r="K58" s="49">
        <v>11</v>
      </c>
      <c r="L58" s="49">
        <v>12</v>
      </c>
    </row>
    <row r="59" spans="1:12" ht="15" x14ac:dyDescent="0.2">
      <c r="A59" s="48" t="s">
        <v>301</v>
      </c>
      <c r="B59" s="49">
        <v>1</v>
      </c>
      <c r="C59" s="48">
        <v>2</v>
      </c>
      <c r="D59" s="46">
        <f>E59+F59+G59+I59+K59</f>
        <v>6965.8240000000005</v>
      </c>
      <c r="E59" s="46">
        <v>3511</v>
      </c>
      <c r="F59" s="46">
        <v>140.44</v>
      </c>
      <c r="G59" s="46">
        <v>702.2</v>
      </c>
      <c r="H59" s="48">
        <v>30</v>
      </c>
      <c r="I59" s="46">
        <f>(E59+F59+G59)*H59/100</f>
        <v>1306.0920000000001</v>
      </c>
      <c r="J59" s="48">
        <v>30</v>
      </c>
      <c r="K59" s="46">
        <f>(E59+F59+G59)*J59/100</f>
        <v>1306.0920000000001</v>
      </c>
      <c r="L59" s="46">
        <f>C59*D59*12+0.01</f>
        <v>167179.78600000002</v>
      </c>
    </row>
    <row r="60" spans="1:12" ht="15" x14ac:dyDescent="0.2">
      <c r="A60" s="48" t="s">
        <v>302</v>
      </c>
      <c r="B60" s="49">
        <f>B59+1</f>
        <v>2</v>
      </c>
      <c r="C60" s="48">
        <v>0.5</v>
      </c>
      <c r="D60" s="46">
        <f>E60+F60+G60+I60+K60</f>
        <v>5163.3920000000007</v>
      </c>
      <c r="E60" s="46">
        <v>3016</v>
      </c>
      <c r="F60" s="46">
        <v>60.32</v>
      </c>
      <c r="G60" s="46">
        <v>150.80000000000001</v>
      </c>
      <c r="H60" s="48">
        <v>30</v>
      </c>
      <c r="I60" s="46">
        <f>(E60+F60+G60)*H60/100</f>
        <v>968.13600000000008</v>
      </c>
      <c r="J60" s="48">
        <v>30</v>
      </c>
      <c r="K60" s="46">
        <f>(E60+F60+G60)*J60/100</f>
        <v>968.13600000000008</v>
      </c>
      <c r="L60" s="46">
        <f>C60*D60*12</f>
        <v>30980.352000000006</v>
      </c>
    </row>
    <row r="61" spans="1:12" ht="15" x14ac:dyDescent="0.2">
      <c r="A61" s="48" t="s">
        <v>303</v>
      </c>
      <c r="B61" s="49">
        <f>B60+1</f>
        <v>3</v>
      </c>
      <c r="C61" s="48">
        <v>0.5</v>
      </c>
      <c r="D61" s="46">
        <f>E61+F61+G61+I61+K61</f>
        <v>5163.3920000000007</v>
      </c>
      <c r="E61" s="46">
        <v>3016</v>
      </c>
      <c r="F61" s="46">
        <v>60.32</v>
      </c>
      <c r="G61" s="46">
        <v>150.80000000000001</v>
      </c>
      <c r="H61" s="48">
        <v>30</v>
      </c>
      <c r="I61" s="46">
        <f>(E61+F61+G61)*H61/100</f>
        <v>968.13600000000008</v>
      </c>
      <c r="J61" s="48">
        <v>30</v>
      </c>
      <c r="K61" s="46">
        <f>(E61+F61+G61)*J61/100</f>
        <v>968.13600000000008</v>
      </c>
      <c r="L61" s="50">
        <f>C61*D61*12</f>
        <v>30980.352000000006</v>
      </c>
    </row>
    <row r="62" spans="1:12" ht="15" x14ac:dyDescent="0.2">
      <c r="A62" s="48" t="s">
        <v>299</v>
      </c>
      <c r="B62" s="49">
        <v>4</v>
      </c>
      <c r="C62" s="48"/>
      <c r="D62" s="46">
        <f>E62+F62+G62+I62+K62</f>
        <v>26984.112000000001</v>
      </c>
      <c r="E62" s="46"/>
      <c r="F62" s="46"/>
      <c r="G62" s="46">
        <f>16865.07</f>
        <v>16865.07</v>
      </c>
      <c r="H62" s="48">
        <v>30</v>
      </c>
      <c r="I62" s="46">
        <f>(E62+F62+G62)*H62/100</f>
        <v>5059.5209999999997</v>
      </c>
      <c r="J62" s="48">
        <v>30</v>
      </c>
      <c r="K62" s="46">
        <f>(E62+F62+G62)*J62/100</f>
        <v>5059.5209999999997</v>
      </c>
      <c r="L62" s="50">
        <f>D62*12+0.06</f>
        <v>323809.40400000004</v>
      </c>
    </row>
    <row r="63" spans="1:12" ht="21" customHeight="1" x14ac:dyDescent="0.2">
      <c r="A63" s="48" t="s">
        <v>133</v>
      </c>
      <c r="B63" s="49">
        <v>9000</v>
      </c>
      <c r="C63" s="49" t="s">
        <v>11</v>
      </c>
      <c r="D63" s="46">
        <f>SUM(D59:D62)</f>
        <v>44276.72</v>
      </c>
      <c r="E63" s="46">
        <f>SUM(E59:E62)</f>
        <v>9543</v>
      </c>
      <c r="F63" s="46">
        <f>SUM(F59:F62)</f>
        <v>261.08</v>
      </c>
      <c r="G63" s="46">
        <f>SUM(G59:G62)</f>
        <v>17868.87</v>
      </c>
      <c r="H63" s="46"/>
      <c r="I63" s="46">
        <f>SUM(I59:I62)</f>
        <v>8301.8850000000002</v>
      </c>
      <c r="J63" s="46"/>
      <c r="K63" s="46">
        <f>SUM(K59:K62)</f>
        <v>8301.8850000000002</v>
      </c>
      <c r="L63" s="241">
        <f>SUM(L59:L62)+1120.12-0.01+180645.16</f>
        <v>734715.16400000011</v>
      </c>
    </row>
    <row r="64" spans="1:12" ht="15" x14ac:dyDescent="0.25">
      <c r="A64" s="1"/>
      <c r="B64" s="1"/>
      <c r="C64" s="1"/>
      <c r="D64" s="1"/>
      <c r="E64" s="1"/>
      <c r="F64" s="1"/>
      <c r="G64" s="1"/>
      <c r="H64" s="1"/>
      <c r="I64" s="1"/>
      <c r="J64" s="400"/>
      <c r="K64" s="400"/>
      <c r="L64" s="400"/>
    </row>
    <row r="65" spans="1:12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5" x14ac:dyDescent="0.25">
      <c r="A66" s="1" t="s">
        <v>304</v>
      </c>
      <c r="B66" s="1"/>
      <c r="C66" s="53">
        <v>75880</v>
      </c>
      <c r="D66" s="1"/>
      <c r="E66" s="1"/>
      <c r="F66" s="1"/>
      <c r="G66" s="1"/>
      <c r="H66" s="1"/>
      <c r="I66" s="1"/>
      <c r="J66" s="1"/>
      <c r="K66" s="1"/>
      <c r="L66" s="1"/>
    </row>
    <row r="67" spans="1:12" ht="15" x14ac:dyDescent="0.2">
      <c r="A67" s="399" t="s">
        <v>179</v>
      </c>
      <c r="B67" s="399" t="s">
        <v>1</v>
      </c>
      <c r="C67" s="399" t="s">
        <v>180</v>
      </c>
      <c r="D67" s="399" t="s">
        <v>181</v>
      </c>
      <c r="E67" s="399"/>
      <c r="F67" s="399"/>
      <c r="G67" s="399"/>
      <c r="H67" s="399"/>
      <c r="I67" s="399"/>
      <c r="J67" s="399"/>
      <c r="K67" s="399"/>
      <c r="L67" s="399" t="s">
        <v>182</v>
      </c>
    </row>
    <row r="68" spans="1:12" ht="15" x14ac:dyDescent="0.2">
      <c r="A68" s="399"/>
      <c r="B68" s="399"/>
      <c r="C68" s="399"/>
      <c r="D68" s="399" t="s">
        <v>183</v>
      </c>
      <c r="E68" s="399" t="s">
        <v>14</v>
      </c>
      <c r="F68" s="399"/>
      <c r="G68" s="399"/>
      <c r="H68" s="399"/>
      <c r="I68" s="399"/>
      <c r="J68" s="399"/>
      <c r="K68" s="399"/>
      <c r="L68" s="399"/>
    </row>
    <row r="69" spans="1:12" ht="15" x14ac:dyDescent="0.2">
      <c r="A69" s="399"/>
      <c r="B69" s="399"/>
      <c r="C69" s="399"/>
      <c r="D69" s="399"/>
      <c r="E69" s="399" t="s">
        <v>184</v>
      </c>
      <c r="F69" s="399" t="s">
        <v>185</v>
      </c>
      <c r="G69" s="399" t="s">
        <v>186</v>
      </c>
      <c r="H69" s="399" t="s">
        <v>187</v>
      </c>
      <c r="I69" s="399"/>
      <c r="J69" s="399" t="s">
        <v>188</v>
      </c>
      <c r="K69" s="399"/>
      <c r="L69" s="399"/>
    </row>
    <row r="70" spans="1:12" ht="60" x14ac:dyDescent="0.2">
      <c r="A70" s="399"/>
      <c r="B70" s="399"/>
      <c r="C70" s="399"/>
      <c r="D70" s="399"/>
      <c r="E70" s="399"/>
      <c r="F70" s="399"/>
      <c r="G70" s="399"/>
      <c r="H70" s="49" t="s">
        <v>189</v>
      </c>
      <c r="I70" s="49" t="s">
        <v>190</v>
      </c>
      <c r="J70" s="49" t="s">
        <v>189</v>
      </c>
      <c r="K70" s="49" t="s">
        <v>191</v>
      </c>
      <c r="L70" s="399"/>
    </row>
    <row r="71" spans="1:12" ht="15" x14ac:dyDescent="0.2">
      <c r="A71" s="49">
        <v>1</v>
      </c>
      <c r="B71" s="49">
        <v>2</v>
      </c>
      <c r="C71" s="49">
        <v>3</v>
      </c>
      <c r="D71" s="49">
        <v>4</v>
      </c>
      <c r="E71" s="49">
        <v>5</v>
      </c>
      <c r="F71" s="49">
        <v>6</v>
      </c>
      <c r="G71" s="49">
        <v>7</v>
      </c>
      <c r="H71" s="49">
        <v>8</v>
      </c>
      <c r="I71" s="49">
        <v>9</v>
      </c>
      <c r="J71" s="49">
        <v>10</v>
      </c>
      <c r="K71" s="49">
        <v>11</v>
      </c>
      <c r="L71" s="49">
        <v>12</v>
      </c>
    </row>
    <row r="72" spans="1:12" ht="15" x14ac:dyDescent="0.2">
      <c r="A72" s="48" t="s">
        <v>305</v>
      </c>
      <c r="B72" s="49">
        <v>1</v>
      </c>
      <c r="C72" s="48">
        <v>2</v>
      </c>
      <c r="D72" s="46">
        <f t="shared" ref="D72:D78" si="7">E72+F72+G72+I72+K72</f>
        <v>21129.599999999999</v>
      </c>
      <c r="E72" s="46">
        <v>6603</v>
      </c>
      <c r="F72" s="46"/>
      <c r="G72" s="46">
        <v>6603</v>
      </c>
      <c r="H72" s="48">
        <v>30</v>
      </c>
      <c r="I72" s="46">
        <f t="shared" ref="I72:I78" si="8">(E72+F72+G72)*H72/100</f>
        <v>3961.8</v>
      </c>
      <c r="J72" s="48">
        <v>30</v>
      </c>
      <c r="K72" s="46">
        <f t="shared" ref="K72:K78" si="9">(E72+F72+G72)*J72/100</f>
        <v>3961.8</v>
      </c>
      <c r="L72" s="46">
        <f>'3.6.4 (2)'!L80</f>
        <v>507110.39999999997</v>
      </c>
    </row>
    <row r="73" spans="1:12" ht="15" x14ac:dyDescent="0.2">
      <c r="A73" s="48" t="s">
        <v>305</v>
      </c>
      <c r="B73" s="49">
        <f t="shared" ref="B73:B78" si="10">B72+1</f>
        <v>2</v>
      </c>
      <c r="C73" s="48">
        <v>2</v>
      </c>
      <c r="D73" s="46">
        <f t="shared" si="7"/>
        <v>22113.439999999999</v>
      </c>
      <c r="E73" s="46">
        <v>7521</v>
      </c>
      <c r="F73" s="46"/>
      <c r="G73" s="46">
        <v>6299.9</v>
      </c>
      <c r="H73" s="48">
        <v>30</v>
      </c>
      <c r="I73" s="46">
        <f t="shared" si="8"/>
        <v>4146.2700000000004</v>
      </c>
      <c r="J73" s="48">
        <v>30</v>
      </c>
      <c r="K73" s="46">
        <f t="shared" si="9"/>
        <v>4146.2700000000004</v>
      </c>
      <c r="L73" s="46">
        <f>'3.6.4 (2)'!L81</f>
        <v>530722.55999999994</v>
      </c>
    </row>
    <row r="74" spans="1:12" ht="30" x14ac:dyDescent="0.2">
      <c r="A74" s="48" t="s">
        <v>306</v>
      </c>
      <c r="B74" s="49">
        <f t="shared" si="10"/>
        <v>3</v>
      </c>
      <c r="C74" s="48">
        <v>0.5</v>
      </c>
      <c r="D74" s="46">
        <f t="shared" si="7"/>
        <v>12789.76</v>
      </c>
      <c r="E74" s="46">
        <v>6556</v>
      </c>
      <c r="F74" s="46"/>
      <c r="G74" s="46">
        <v>1437.6</v>
      </c>
      <c r="H74" s="48">
        <v>30</v>
      </c>
      <c r="I74" s="46">
        <f t="shared" si="8"/>
        <v>2398.08</v>
      </c>
      <c r="J74" s="48">
        <v>30</v>
      </c>
      <c r="K74" s="46">
        <f t="shared" si="9"/>
        <v>2398.08</v>
      </c>
      <c r="L74" s="46">
        <f>'3.6.4 (2)'!L82</f>
        <v>76738.559999999998</v>
      </c>
    </row>
    <row r="75" spans="1:12" ht="30" x14ac:dyDescent="0.2">
      <c r="A75" s="48" t="s">
        <v>307</v>
      </c>
      <c r="B75" s="49">
        <f t="shared" si="10"/>
        <v>4</v>
      </c>
      <c r="C75" s="48">
        <v>0.5</v>
      </c>
      <c r="D75" s="46">
        <f t="shared" si="7"/>
        <v>12804</v>
      </c>
      <c r="E75" s="46">
        <v>6556</v>
      </c>
      <c r="F75" s="46"/>
      <c r="G75" s="46">
        <v>1446.5</v>
      </c>
      <c r="H75" s="48">
        <v>30</v>
      </c>
      <c r="I75" s="46">
        <f t="shared" si="8"/>
        <v>2400.75</v>
      </c>
      <c r="J75" s="48">
        <v>30</v>
      </c>
      <c r="K75" s="46">
        <f t="shared" si="9"/>
        <v>2400.75</v>
      </c>
      <c r="L75" s="46">
        <f>'3.6.4 (2)'!L83</f>
        <v>76824</v>
      </c>
    </row>
    <row r="76" spans="1:12" ht="15" x14ac:dyDescent="0.2">
      <c r="A76" s="48" t="s">
        <v>308</v>
      </c>
      <c r="B76" s="49">
        <f t="shared" si="10"/>
        <v>5</v>
      </c>
      <c r="C76" s="48">
        <v>0.5</v>
      </c>
      <c r="D76" s="46">
        <f t="shared" si="7"/>
        <v>18113.439999999999</v>
      </c>
      <c r="E76" s="46">
        <v>8234</v>
      </c>
      <c r="F76" s="46"/>
      <c r="G76" s="46">
        <v>3086.9</v>
      </c>
      <c r="H76" s="48">
        <v>30</v>
      </c>
      <c r="I76" s="46">
        <f t="shared" si="8"/>
        <v>3396.27</v>
      </c>
      <c r="J76" s="48">
        <v>30</v>
      </c>
      <c r="K76" s="46">
        <f t="shared" si="9"/>
        <v>3396.27</v>
      </c>
      <c r="L76" s="46">
        <f>'3.6.4 (2)'!L84</f>
        <v>108680.63999999998</v>
      </c>
    </row>
    <row r="77" spans="1:12" ht="15" x14ac:dyDescent="0.2">
      <c r="A77" s="48" t="s">
        <v>419</v>
      </c>
      <c r="B77" s="49">
        <f t="shared" si="10"/>
        <v>6</v>
      </c>
      <c r="C77" s="48">
        <v>0.33</v>
      </c>
      <c r="D77" s="46">
        <f t="shared" si="7"/>
        <v>13088.8</v>
      </c>
      <c r="E77" s="46">
        <v>7521</v>
      </c>
      <c r="F77" s="46"/>
      <c r="G77" s="46">
        <v>659.5</v>
      </c>
      <c r="H77" s="48">
        <v>30</v>
      </c>
      <c r="I77" s="46">
        <f t="shared" si="8"/>
        <v>2454.15</v>
      </c>
      <c r="J77" s="48">
        <v>30</v>
      </c>
      <c r="K77" s="46">
        <f t="shared" si="9"/>
        <v>2454.15</v>
      </c>
      <c r="L77" s="46">
        <f>'3.6.4 (2)'!L85</f>
        <v>51831.648000000001</v>
      </c>
    </row>
    <row r="78" spans="1:12" ht="30" x14ac:dyDescent="0.2">
      <c r="A78" s="48" t="s">
        <v>309</v>
      </c>
      <c r="B78" s="49">
        <f t="shared" si="10"/>
        <v>7</v>
      </c>
      <c r="C78" s="48"/>
      <c r="D78" s="46">
        <f t="shared" si="7"/>
        <v>0</v>
      </c>
      <c r="E78" s="46"/>
      <c r="F78" s="46"/>
      <c r="G78" s="46">
        <v>0</v>
      </c>
      <c r="H78" s="48">
        <v>30</v>
      </c>
      <c r="I78" s="46">
        <f t="shared" si="8"/>
        <v>0</v>
      </c>
      <c r="J78" s="48">
        <v>30</v>
      </c>
      <c r="K78" s="46">
        <f t="shared" si="9"/>
        <v>0</v>
      </c>
      <c r="L78" s="46">
        <f>'3.6.4 (2)'!L86</f>
        <v>180479.93</v>
      </c>
    </row>
    <row r="79" spans="1:12" ht="20.25" customHeight="1" x14ac:dyDescent="0.2">
      <c r="A79" s="48" t="s">
        <v>133</v>
      </c>
      <c r="B79" s="49">
        <v>9000</v>
      </c>
      <c r="C79" s="49" t="s">
        <v>11</v>
      </c>
      <c r="D79" s="46">
        <f>SUM(D72:D78)</f>
        <v>100039.03999999999</v>
      </c>
      <c r="E79" s="46">
        <f>SUM(E72:E78)</f>
        <v>42991</v>
      </c>
      <c r="F79" s="46">
        <f>SUM(F72:F78)</f>
        <v>0</v>
      </c>
      <c r="G79" s="46">
        <f>SUM(G72:G78)</f>
        <v>19533.400000000001</v>
      </c>
      <c r="H79" s="46"/>
      <c r="I79" s="46">
        <f>SUM(I72:I78)</f>
        <v>18757.320000000003</v>
      </c>
      <c r="J79" s="46"/>
      <c r="K79" s="46">
        <f>SUM(K72:K78)</f>
        <v>18757.320000000003</v>
      </c>
      <c r="L79" s="241">
        <f>SUM(L72:L78)</f>
        <v>1532387.7379999999</v>
      </c>
    </row>
    <row r="80" spans="1:12" ht="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5" x14ac:dyDescent="0.25">
      <c r="A81" s="1" t="s">
        <v>310</v>
      </c>
      <c r="B81" s="1"/>
      <c r="C81" s="53">
        <v>74080</v>
      </c>
      <c r="D81" s="1"/>
      <c r="E81" s="1"/>
      <c r="F81" s="1"/>
      <c r="G81" s="1"/>
      <c r="H81" s="1"/>
      <c r="I81" s="1"/>
      <c r="J81" s="1"/>
      <c r="K81" s="1"/>
      <c r="L81" s="1"/>
    </row>
    <row r="82" spans="1:12" ht="15" x14ac:dyDescent="0.2">
      <c r="A82" s="399" t="s">
        <v>179</v>
      </c>
      <c r="B82" s="399" t="s">
        <v>1</v>
      </c>
      <c r="C82" s="399" t="s">
        <v>180</v>
      </c>
      <c r="D82" s="399" t="s">
        <v>181</v>
      </c>
      <c r="E82" s="399"/>
      <c r="F82" s="399"/>
      <c r="G82" s="399"/>
      <c r="H82" s="399"/>
      <c r="I82" s="399"/>
      <c r="J82" s="399"/>
      <c r="K82" s="399"/>
      <c r="L82" s="399" t="s">
        <v>182</v>
      </c>
    </row>
    <row r="83" spans="1:12" ht="15" x14ac:dyDescent="0.2">
      <c r="A83" s="399"/>
      <c r="B83" s="399"/>
      <c r="C83" s="399"/>
      <c r="D83" s="399" t="s">
        <v>183</v>
      </c>
      <c r="E83" s="399" t="s">
        <v>14</v>
      </c>
      <c r="F83" s="399"/>
      <c r="G83" s="399"/>
      <c r="H83" s="399"/>
      <c r="I83" s="399"/>
      <c r="J83" s="399"/>
      <c r="K83" s="399"/>
      <c r="L83" s="399"/>
    </row>
    <row r="84" spans="1:12" ht="15" x14ac:dyDescent="0.2">
      <c r="A84" s="399"/>
      <c r="B84" s="399"/>
      <c r="C84" s="399"/>
      <c r="D84" s="399"/>
      <c r="E84" s="399" t="s">
        <v>184</v>
      </c>
      <c r="F84" s="399" t="s">
        <v>185</v>
      </c>
      <c r="G84" s="399" t="s">
        <v>186</v>
      </c>
      <c r="H84" s="399" t="s">
        <v>187</v>
      </c>
      <c r="I84" s="399"/>
      <c r="J84" s="399" t="s">
        <v>188</v>
      </c>
      <c r="K84" s="399"/>
      <c r="L84" s="399"/>
    </row>
    <row r="85" spans="1:12" ht="60" x14ac:dyDescent="0.2">
      <c r="A85" s="399"/>
      <c r="B85" s="399"/>
      <c r="C85" s="399"/>
      <c r="D85" s="399"/>
      <c r="E85" s="399"/>
      <c r="F85" s="399"/>
      <c r="G85" s="399"/>
      <c r="H85" s="49" t="s">
        <v>189</v>
      </c>
      <c r="I85" s="49" t="s">
        <v>190</v>
      </c>
      <c r="J85" s="49" t="s">
        <v>189</v>
      </c>
      <c r="K85" s="49" t="s">
        <v>191</v>
      </c>
      <c r="L85" s="399"/>
    </row>
    <row r="86" spans="1:12" ht="15" x14ac:dyDescent="0.2">
      <c r="A86" s="49">
        <v>1</v>
      </c>
      <c r="B86" s="49">
        <v>2</v>
      </c>
      <c r="C86" s="49">
        <v>3</v>
      </c>
      <c r="D86" s="49">
        <v>4</v>
      </c>
      <c r="E86" s="49">
        <v>5</v>
      </c>
      <c r="F86" s="49">
        <v>6</v>
      </c>
      <c r="G86" s="49">
        <v>7</v>
      </c>
      <c r="H86" s="49">
        <v>8</v>
      </c>
      <c r="I86" s="49">
        <v>9</v>
      </c>
      <c r="J86" s="49">
        <v>10</v>
      </c>
      <c r="K86" s="49">
        <v>11</v>
      </c>
      <c r="L86" s="49">
        <v>12</v>
      </c>
    </row>
    <row r="87" spans="1:12" ht="19.5" customHeight="1" x14ac:dyDescent="0.2">
      <c r="A87" s="48" t="s">
        <v>311</v>
      </c>
      <c r="B87" s="49">
        <v>1</v>
      </c>
      <c r="C87" s="48">
        <v>3</v>
      </c>
      <c r="D87" s="46">
        <f>E87+F87+G87+I87+K87</f>
        <v>11716.96</v>
      </c>
      <c r="E87" s="46">
        <v>3964</v>
      </c>
      <c r="F87" s="46">
        <v>2309.4</v>
      </c>
      <c r="G87" s="46">
        <v>1049.7</v>
      </c>
      <c r="H87" s="48">
        <v>30</v>
      </c>
      <c r="I87" s="46">
        <f>(E87+F87+G87)*H87/100</f>
        <v>2196.9299999999998</v>
      </c>
      <c r="J87" s="48">
        <v>30</v>
      </c>
      <c r="K87" s="46">
        <f>(E87+F87+G87)*J87/100</f>
        <v>2196.9299999999998</v>
      </c>
      <c r="L87" s="46">
        <f>'3.6.4 (2)'!L95</f>
        <v>421810.55999999994</v>
      </c>
    </row>
    <row r="88" spans="1:12" ht="17.25" customHeight="1" x14ac:dyDescent="0.2">
      <c r="A88" s="48" t="s">
        <v>312</v>
      </c>
      <c r="B88" s="49">
        <f>B87+1</f>
        <v>2</v>
      </c>
      <c r="C88" s="48">
        <v>1</v>
      </c>
      <c r="D88" s="46">
        <f>E88+F88+G88+I88+K88</f>
        <v>6851.2000000000007</v>
      </c>
      <c r="E88" s="46">
        <v>4282</v>
      </c>
      <c r="F88" s="46"/>
      <c r="G88" s="46"/>
      <c r="H88" s="48">
        <v>30</v>
      </c>
      <c r="I88" s="46">
        <f>(E88+F88+G88)*H88/100</f>
        <v>1284.5999999999999</v>
      </c>
      <c r="J88" s="48">
        <v>30</v>
      </c>
      <c r="K88" s="46">
        <f>(E88+F88+G88)*J88/100</f>
        <v>1284.5999999999999</v>
      </c>
      <c r="L88" s="46">
        <f>'3.6.4 (2)'!L96</f>
        <v>82214.400000000009</v>
      </c>
    </row>
    <row r="89" spans="1:12" ht="22.5" customHeight="1" x14ac:dyDescent="0.2">
      <c r="A89" s="48" t="s">
        <v>293</v>
      </c>
      <c r="B89" s="49">
        <f>B88+1</f>
        <v>3</v>
      </c>
      <c r="C89" s="48">
        <v>1</v>
      </c>
      <c r="D89" s="46">
        <f>E89+F89+G89+I89+K89</f>
        <v>26734.959999999999</v>
      </c>
      <c r="E89" s="46">
        <v>16008</v>
      </c>
      <c r="F89" s="46"/>
      <c r="G89" s="46">
        <v>701.35</v>
      </c>
      <c r="H89" s="48">
        <v>30</v>
      </c>
      <c r="I89" s="46">
        <f>(E89+F89+G89)*H89/100</f>
        <v>5012.8049999999994</v>
      </c>
      <c r="J89" s="48">
        <v>30</v>
      </c>
      <c r="K89" s="46">
        <f>(E89+F89+G89)*J89/100</f>
        <v>5012.8049999999994</v>
      </c>
      <c r="L89" s="46">
        <f>'3.6.4 (2)'!L97</f>
        <v>320819.52</v>
      </c>
    </row>
    <row r="90" spans="1:12" ht="19.5" customHeight="1" x14ac:dyDescent="0.2">
      <c r="A90" s="48" t="s">
        <v>314</v>
      </c>
      <c r="B90" s="49">
        <v>4</v>
      </c>
      <c r="C90" s="48"/>
      <c r="D90" s="46">
        <f>E90+F90+G90+I90+K90</f>
        <v>0</v>
      </c>
      <c r="E90" s="46"/>
      <c r="F90" s="46"/>
      <c r="G90" s="46">
        <v>0</v>
      </c>
      <c r="H90" s="48">
        <v>30</v>
      </c>
      <c r="I90" s="46">
        <f>(E90+F90+G90)*H90/100</f>
        <v>0</v>
      </c>
      <c r="J90" s="48">
        <v>30</v>
      </c>
      <c r="K90" s="46">
        <f>(E90+F90+G90)*J90/100</f>
        <v>0</v>
      </c>
      <c r="L90" s="46">
        <f>'3.6.4 (2)'!L98</f>
        <v>0</v>
      </c>
    </row>
    <row r="91" spans="1:12" ht="18" customHeight="1" x14ac:dyDescent="0.2">
      <c r="A91" s="48" t="s">
        <v>299</v>
      </c>
      <c r="B91" s="49">
        <f>B90+1</f>
        <v>5</v>
      </c>
      <c r="C91" s="48"/>
      <c r="D91" s="46">
        <f>E91+F91+G91+I91+K91</f>
        <v>21477.151999999998</v>
      </c>
      <c r="E91" s="46"/>
      <c r="F91" s="46"/>
      <c r="G91" s="46">
        <v>13423.22</v>
      </c>
      <c r="H91" s="48">
        <v>30</v>
      </c>
      <c r="I91" s="46">
        <f>(E91+F91+G91)*H91/100</f>
        <v>4026.9659999999999</v>
      </c>
      <c r="J91" s="48">
        <v>30</v>
      </c>
      <c r="K91" s="46">
        <f>(E91+F91+G91)*J91/100</f>
        <v>4026.9659999999999</v>
      </c>
      <c r="L91" s="46">
        <f>'3.6.4 (2)'!L99</f>
        <v>444387.78</v>
      </c>
    </row>
    <row r="92" spans="1:12" ht="18.75" customHeight="1" x14ac:dyDescent="0.2">
      <c r="A92" s="48" t="s">
        <v>133</v>
      </c>
      <c r="B92" s="49">
        <v>9000</v>
      </c>
      <c r="C92" s="49" t="s">
        <v>11</v>
      </c>
      <c r="D92" s="46">
        <f>SUM(D87:D91)</f>
        <v>66780.271999999997</v>
      </c>
      <c r="E92" s="46">
        <f>SUM(E87:E91)</f>
        <v>24254</v>
      </c>
      <c r="F92" s="46">
        <f>SUM(F87:F91)</f>
        <v>2309.4</v>
      </c>
      <c r="G92" s="46">
        <f>SUM(G87:G91)</f>
        <v>15174.27</v>
      </c>
      <c r="H92" s="46"/>
      <c r="I92" s="46">
        <f>SUM(I87:I91)</f>
        <v>12521.300999999999</v>
      </c>
      <c r="J92" s="46"/>
      <c r="K92" s="46">
        <f>SUM(K87:K91)</f>
        <v>12521.300999999999</v>
      </c>
      <c r="L92" s="241">
        <f>'3.6.4 (2)'!L100</f>
        <v>1269173.1599999999</v>
      </c>
    </row>
    <row r="93" spans="1:12" ht="1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3" ht="15" x14ac:dyDescent="0.25">
      <c r="A97" s="1" t="s">
        <v>343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3" ht="90" x14ac:dyDescent="0.25">
      <c r="A98" s="49" t="s">
        <v>344</v>
      </c>
      <c r="B98" s="49" t="s">
        <v>1</v>
      </c>
      <c r="C98" s="49" t="s">
        <v>345</v>
      </c>
      <c r="D98" s="49" t="s">
        <v>346</v>
      </c>
      <c r="E98" s="1"/>
      <c r="F98" s="1"/>
      <c r="G98" s="1"/>
      <c r="H98" s="1"/>
      <c r="I98" s="1"/>
      <c r="J98" s="1"/>
      <c r="K98" s="1"/>
      <c r="L98" s="1"/>
    </row>
    <row r="99" spans="1:13" ht="27.75" customHeight="1" x14ac:dyDescent="0.25">
      <c r="A99" s="48" t="s">
        <v>553</v>
      </c>
      <c r="B99" s="48">
        <v>1</v>
      </c>
      <c r="C99" s="54">
        <v>5760.36</v>
      </c>
      <c r="D99" s="55">
        <f>'3.6.4 (2)'!D104</f>
        <v>51843.24</v>
      </c>
      <c r="E99" s="1"/>
      <c r="F99" s="402" t="s">
        <v>560</v>
      </c>
      <c r="G99" s="402"/>
      <c r="H99" s="402"/>
      <c r="I99" s="1"/>
      <c r="J99" s="1"/>
      <c r="K99" s="1"/>
      <c r="L99" s="1"/>
    </row>
    <row r="100" spans="1:13" ht="45" x14ac:dyDescent="0.25">
      <c r="A100" s="48" t="s">
        <v>551</v>
      </c>
      <c r="B100" s="48">
        <v>2</v>
      </c>
      <c r="C100" s="54">
        <v>11520.74</v>
      </c>
      <c r="D100" s="55">
        <f>'3.6.4 (2)'!D105</f>
        <v>103686.66</v>
      </c>
      <c r="E100" s="1"/>
      <c r="F100" s="175" t="s">
        <v>485</v>
      </c>
      <c r="G100" s="170" t="s">
        <v>215</v>
      </c>
      <c r="H100" s="170" t="s">
        <v>486</v>
      </c>
      <c r="I100" s="170" t="s">
        <v>487</v>
      </c>
      <c r="J100" s="170" t="s">
        <v>488</v>
      </c>
      <c r="K100" s="175" t="s">
        <v>72</v>
      </c>
      <c r="L100" s="1"/>
    </row>
    <row r="101" spans="1:13" ht="42.75" customHeight="1" x14ac:dyDescent="0.25">
      <c r="A101" s="48" t="s">
        <v>587</v>
      </c>
      <c r="B101" s="48">
        <v>3</v>
      </c>
      <c r="C101" s="54">
        <v>5760.36</v>
      </c>
      <c r="D101" s="55">
        <f>'3.6.4 (2)'!D106</f>
        <v>51843.24</v>
      </c>
      <c r="E101" s="1"/>
      <c r="F101" s="175">
        <v>1</v>
      </c>
      <c r="G101" s="170" t="s">
        <v>489</v>
      </c>
      <c r="H101" s="175">
        <v>1</v>
      </c>
      <c r="I101" s="175">
        <v>1</v>
      </c>
      <c r="J101" s="176">
        <v>5179.72</v>
      </c>
      <c r="K101" s="177">
        <f>J101</f>
        <v>5179.72</v>
      </c>
      <c r="L101" s="1"/>
    </row>
    <row r="102" spans="1:13" ht="30" x14ac:dyDescent="0.25">
      <c r="A102" s="48" t="s">
        <v>554</v>
      </c>
      <c r="B102" s="35">
        <v>4</v>
      </c>
      <c r="C102" s="54">
        <v>8640.5499999999993</v>
      </c>
      <c r="D102" s="55">
        <f>'3.6.4 (2)'!D107</f>
        <v>77764.95</v>
      </c>
      <c r="E102" s="1"/>
      <c r="F102" s="1"/>
      <c r="G102" s="1"/>
      <c r="H102" s="1"/>
      <c r="I102" s="1"/>
      <c r="J102" s="1"/>
      <c r="K102" s="1"/>
      <c r="L102" s="1"/>
    </row>
    <row r="103" spans="1:13" ht="30" x14ac:dyDescent="0.25">
      <c r="A103" s="48" t="s">
        <v>588</v>
      </c>
      <c r="B103" s="35">
        <v>5</v>
      </c>
      <c r="C103" s="54">
        <v>11059.9</v>
      </c>
      <c r="D103" s="55">
        <f>'3.6.4 (2)'!D108</f>
        <v>99539.099999999991</v>
      </c>
      <c r="E103" s="1"/>
      <c r="F103" s="1"/>
      <c r="G103" s="1"/>
      <c r="H103" s="1"/>
      <c r="I103" s="1"/>
      <c r="J103" s="1"/>
      <c r="K103" s="1"/>
      <c r="L103" s="1"/>
    </row>
    <row r="104" spans="1:13" ht="45" x14ac:dyDescent="0.25">
      <c r="A104" s="48" t="s">
        <v>552</v>
      </c>
      <c r="B104" s="35">
        <v>6</v>
      </c>
      <c r="C104" s="54">
        <v>5760.36</v>
      </c>
      <c r="D104" s="55">
        <f>'3.6.4 (2)'!D109</f>
        <v>51843.24</v>
      </c>
      <c r="E104" s="1"/>
      <c r="F104" s="132" t="s">
        <v>572</v>
      </c>
      <c r="G104" s="132"/>
      <c r="H104" s="1"/>
      <c r="I104" s="1"/>
      <c r="J104" s="1"/>
      <c r="K104" s="1"/>
      <c r="L104" s="65">
        <f>L18+L30+L51+L63+L79+L92+K106+0.01</f>
        <v>25885148.330800004</v>
      </c>
      <c r="M104" s="3">
        <v>4</v>
      </c>
    </row>
    <row r="105" spans="1:13" ht="32.25" customHeight="1" x14ac:dyDescent="0.25">
      <c r="A105" s="48" t="s">
        <v>589</v>
      </c>
      <c r="B105" s="35">
        <v>7</v>
      </c>
      <c r="C105" s="54">
        <v>4608.29</v>
      </c>
      <c r="D105" s="55">
        <f>'3.6.4 (2)'!D110</f>
        <v>41474.61</v>
      </c>
      <c r="E105" s="1"/>
      <c r="F105" s="174" t="s">
        <v>485</v>
      </c>
      <c r="G105" s="57" t="s">
        <v>215</v>
      </c>
      <c r="H105" s="57" t="s">
        <v>558</v>
      </c>
      <c r="I105" s="57" t="s">
        <v>487</v>
      </c>
      <c r="J105" s="228" t="s">
        <v>488</v>
      </c>
      <c r="K105" s="174" t="s">
        <v>72</v>
      </c>
      <c r="L105" s="65">
        <f>D112</f>
        <v>832257.45999999985</v>
      </c>
      <c r="M105" s="3">
        <v>2</v>
      </c>
    </row>
    <row r="106" spans="1:13" ht="30.75" customHeight="1" x14ac:dyDescent="0.25">
      <c r="A106" s="48" t="s">
        <v>555</v>
      </c>
      <c r="B106" s="35">
        <v>8</v>
      </c>
      <c r="C106" s="54">
        <v>4608.29</v>
      </c>
      <c r="D106" s="55">
        <f>'3.6.4 (2)'!D111</f>
        <v>41474.61</v>
      </c>
      <c r="E106" s="1"/>
      <c r="F106" s="174">
        <v>1</v>
      </c>
      <c r="G106" s="57" t="s">
        <v>571</v>
      </c>
      <c r="H106" s="175"/>
      <c r="I106" s="175"/>
      <c r="J106" s="245"/>
      <c r="K106" s="244"/>
      <c r="L106" s="65">
        <f>K101</f>
        <v>5179.72</v>
      </c>
      <c r="M106" s="3">
        <v>5</v>
      </c>
    </row>
    <row r="107" spans="1:13" ht="22.5" customHeight="1" x14ac:dyDescent="0.25">
      <c r="A107" s="48" t="s">
        <v>591</v>
      </c>
      <c r="B107" s="35">
        <v>9</v>
      </c>
      <c r="C107" s="54">
        <v>8640.5499999999993</v>
      </c>
      <c r="D107" s="55">
        <f>'3.6.4 (2)'!D112</f>
        <v>77764.95</v>
      </c>
      <c r="E107" s="1"/>
      <c r="F107" s="1"/>
      <c r="G107" s="1"/>
      <c r="H107" s="1"/>
      <c r="I107" s="1"/>
      <c r="J107" s="1"/>
      <c r="K107" s="1"/>
      <c r="L107" s="65">
        <f>L104+L105+L106</f>
        <v>26722585.510800004</v>
      </c>
    </row>
    <row r="108" spans="1:13" ht="45" x14ac:dyDescent="0.25">
      <c r="A108" s="48" t="s">
        <v>590</v>
      </c>
      <c r="B108" s="35">
        <v>10</v>
      </c>
      <c r="C108" s="54">
        <v>5760.36</v>
      </c>
      <c r="D108" s="55">
        <f>'3.6.4 (2)'!D113</f>
        <v>51843.24</v>
      </c>
    </row>
    <row r="109" spans="1:13" ht="15" x14ac:dyDescent="0.25">
      <c r="A109" s="48" t="s">
        <v>592</v>
      </c>
      <c r="B109" s="35">
        <v>11</v>
      </c>
      <c r="C109" s="54">
        <v>7680.49</v>
      </c>
      <c r="D109" s="55">
        <f>'3.6.4 (2)'!D114</f>
        <v>69124.41</v>
      </c>
    </row>
    <row r="110" spans="1:13" ht="30" x14ac:dyDescent="0.25">
      <c r="A110" s="48" t="s">
        <v>593</v>
      </c>
      <c r="B110" s="35">
        <v>12</v>
      </c>
      <c r="C110" s="54">
        <v>5760.36</v>
      </c>
      <c r="D110" s="55">
        <f>'3.6.4 (2)'!D115</f>
        <v>51843.24</v>
      </c>
    </row>
    <row r="111" spans="1:13" ht="15" x14ac:dyDescent="0.25">
      <c r="A111" s="48" t="s">
        <v>594</v>
      </c>
      <c r="B111" s="35">
        <v>13</v>
      </c>
      <c r="C111" s="54">
        <v>6912.44</v>
      </c>
      <c r="D111" s="55">
        <f>'3.6.4 (2)'!D116</f>
        <v>62211.96</v>
      </c>
    </row>
    <row r="112" spans="1:13" ht="15" x14ac:dyDescent="0.25">
      <c r="A112" s="35" t="s">
        <v>347</v>
      </c>
      <c r="B112" s="35"/>
      <c r="C112" s="54"/>
      <c r="D112" s="165">
        <f>SUM(D99:D111)+0.01</f>
        <v>832257.45999999985</v>
      </c>
    </row>
  </sheetData>
  <mergeCells count="74">
    <mergeCell ref="F99:H99"/>
    <mergeCell ref="A3:A6"/>
    <mergeCell ref="B3:B6"/>
    <mergeCell ref="C3:C6"/>
    <mergeCell ref="D3:K3"/>
    <mergeCell ref="H35:I35"/>
    <mergeCell ref="J35:K35"/>
    <mergeCell ref="A33:A36"/>
    <mergeCell ref="B33:B36"/>
    <mergeCell ref="C33:C36"/>
    <mergeCell ref="D33:K33"/>
    <mergeCell ref="A21:A24"/>
    <mergeCell ref="B21:B24"/>
    <mergeCell ref="C21:C24"/>
    <mergeCell ref="D54:K54"/>
    <mergeCell ref="J64:L64"/>
    <mergeCell ref="L21:L24"/>
    <mergeCell ref="D22:D24"/>
    <mergeCell ref="E22:K22"/>
    <mergeCell ref="E23:E24"/>
    <mergeCell ref="F23:F24"/>
    <mergeCell ref="G23:G24"/>
    <mergeCell ref="H23:I23"/>
    <mergeCell ref="J23:K23"/>
    <mergeCell ref="D21:K21"/>
    <mergeCell ref="L3:L6"/>
    <mergeCell ref="D4:D6"/>
    <mergeCell ref="E4:K4"/>
    <mergeCell ref="E5:E6"/>
    <mergeCell ref="F5:F6"/>
    <mergeCell ref="G5:G6"/>
    <mergeCell ref="H5:I5"/>
    <mergeCell ref="J5:K5"/>
    <mergeCell ref="L33:L36"/>
    <mergeCell ref="D34:D36"/>
    <mergeCell ref="E34:K34"/>
    <mergeCell ref="E35:E36"/>
    <mergeCell ref="F35:F36"/>
    <mergeCell ref="G35:G36"/>
    <mergeCell ref="L54:L57"/>
    <mergeCell ref="D55:D57"/>
    <mergeCell ref="E55:K55"/>
    <mergeCell ref="E56:E57"/>
    <mergeCell ref="F56:F57"/>
    <mergeCell ref="G56:G57"/>
    <mergeCell ref="H56:I56"/>
    <mergeCell ref="J56:K56"/>
    <mergeCell ref="D67:K67"/>
    <mergeCell ref="L67:L70"/>
    <mergeCell ref="D68:D70"/>
    <mergeCell ref="E68:K68"/>
    <mergeCell ref="E69:E70"/>
    <mergeCell ref="F69:F70"/>
    <mergeCell ref="G69:G70"/>
    <mergeCell ref="H69:I69"/>
    <mergeCell ref="J69:K69"/>
    <mergeCell ref="A54:A57"/>
    <mergeCell ref="B54:B57"/>
    <mergeCell ref="A82:A85"/>
    <mergeCell ref="B82:B85"/>
    <mergeCell ref="C82:C85"/>
    <mergeCell ref="C54:C57"/>
    <mergeCell ref="A67:A70"/>
    <mergeCell ref="B67:B70"/>
    <mergeCell ref="C67:C70"/>
    <mergeCell ref="D82:K82"/>
    <mergeCell ref="L82:L85"/>
    <mergeCell ref="D83:D85"/>
    <mergeCell ref="E83:K83"/>
    <mergeCell ref="E84:E85"/>
    <mergeCell ref="F84:F85"/>
    <mergeCell ref="G84:G85"/>
    <mergeCell ref="H84:I84"/>
    <mergeCell ref="J84:K84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4" manualBreakCount="4">
    <brk id="31" max="16383" man="1"/>
    <brk id="52" max="11" man="1"/>
    <brk id="80" max="11" man="1"/>
    <brk id="9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6"/>
  <sheetViews>
    <sheetView workbookViewId="0">
      <selection activeCell="C12" sqref="C12"/>
    </sheetView>
  </sheetViews>
  <sheetFormatPr defaultRowHeight="12.75" x14ac:dyDescent="0.2"/>
  <cols>
    <col min="1" max="1" width="43.140625" style="3" customWidth="1"/>
    <col min="2" max="2" width="9.140625" style="3"/>
    <col min="3" max="5" width="21.42578125" style="3" customWidth="1"/>
    <col min="6" max="16384" width="9.140625" style="3"/>
  </cols>
  <sheetData>
    <row r="1" spans="1:5" ht="29.25" customHeight="1" x14ac:dyDescent="0.2">
      <c r="A1" s="391" t="s">
        <v>198</v>
      </c>
      <c r="B1" s="391"/>
      <c r="C1" s="391"/>
      <c r="D1" s="391"/>
      <c r="E1" s="391"/>
    </row>
    <row r="2" spans="1:5" x14ac:dyDescent="0.2">
      <c r="A2" s="10"/>
      <c r="B2" s="10"/>
      <c r="C2" s="10"/>
      <c r="D2" s="10"/>
      <c r="E2" s="10"/>
    </row>
    <row r="3" spans="1:5" ht="29.25" customHeight="1" x14ac:dyDescent="0.2">
      <c r="A3" s="391" t="s">
        <v>199</v>
      </c>
      <c r="B3" s="391"/>
      <c r="C3" s="391"/>
      <c r="D3" s="391"/>
      <c r="E3" s="391"/>
    </row>
    <row r="5" spans="1:5" ht="18.75" customHeight="1" x14ac:dyDescent="0.2">
      <c r="A5" s="388" t="s">
        <v>0</v>
      </c>
      <c r="B5" s="388" t="s">
        <v>1</v>
      </c>
      <c r="C5" s="388" t="s">
        <v>113</v>
      </c>
      <c r="D5" s="388"/>
      <c r="E5" s="388"/>
    </row>
    <row r="6" spans="1:5" ht="18.75" customHeight="1" x14ac:dyDescent="0.2">
      <c r="A6" s="388"/>
      <c r="B6" s="388"/>
      <c r="C6" s="16" t="s">
        <v>418</v>
      </c>
      <c r="D6" s="16" t="s">
        <v>548</v>
      </c>
      <c r="E6" s="16" t="s">
        <v>583</v>
      </c>
    </row>
    <row r="7" spans="1:5" ht="30" customHeight="1" x14ac:dyDescent="0.2">
      <c r="A7" s="388"/>
      <c r="B7" s="388"/>
      <c r="C7" s="2" t="s">
        <v>73</v>
      </c>
      <c r="D7" s="2" t="s">
        <v>74</v>
      </c>
      <c r="E7" s="2" t="s">
        <v>75</v>
      </c>
    </row>
    <row r="8" spans="1:5" x14ac:dyDescent="0.2">
      <c r="A8" s="2">
        <v>1</v>
      </c>
      <c r="B8" s="2">
        <v>2</v>
      </c>
      <c r="C8" s="2">
        <v>3</v>
      </c>
      <c r="D8" s="2">
        <v>4</v>
      </c>
      <c r="E8" s="2">
        <v>5</v>
      </c>
    </row>
    <row r="9" spans="1:5" ht="25.5" x14ac:dyDescent="0.2">
      <c r="A9" s="6" t="s">
        <v>192</v>
      </c>
      <c r="B9" s="2">
        <v>100</v>
      </c>
      <c r="C9" s="5"/>
      <c r="D9" s="5"/>
      <c r="E9" s="5"/>
    </row>
    <row r="10" spans="1:5" ht="38.25" x14ac:dyDescent="0.2">
      <c r="A10" s="6" t="s">
        <v>193</v>
      </c>
      <c r="B10" s="2">
        <v>200</v>
      </c>
      <c r="C10" s="5"/>
      <c r="D10" s="5"/>
      <c r="E10" s="5"/>
    </row>
    <row r="11" spans="1:5" ht="25.5" x14ac:dyDescent="0.2">
      <c r="A11" s="6" t="s">
        <v>194</v>
      </c>
      <c r="B11" s="2">
        <v>300</v>
      </c>
      <c r="C11" s="169">
        <f>C12+C13</f>
        <v>9235567.3893325999</v>
      </c>
      <c r="D11" s="169">
        <f>D12+D13</f>
        <v>9127728.7709464002</v>
      </c>
      <c r="E11" s="169">
        <f>E12+E13</f>
        <v>8070220.8232676014</v>
      </c>
    </row>
    <row r="12" spans="1:5" ht="21" customHeight="1" x14ac:dyDescent="0.2">
      <c r="A12" s="12" t="s">
        <v>341</v>
      </c>
      <c r="B12" s="13"/>
      <c r="C12" s="162">
        <f>'3.7.2 (2)'!F22+'3.7.2 (2)'!F45+'3.7.2 (2)'!F67+'3.7.2 (2)'!F89+'3.7.2 (2)'!F111+'3.7.2 (2)'!F133+'3.7.2 (2)'!F177+'3.7.2 (2)'!F199+'3.7.2 (2)'!F200+0.01</f>
        <v>8984225.6364126001</v>
      </c>
      <c r="D12" s="169">
        <f>'3.7.2 (2)'!G22+'3.7.2 (2)'!G45+'3.7.2 (2)'!G67+'3.7.2 (2)'!G89+'3.7.2 (2)'!G111+'3.7.2 (2)'!G133+'3.7.2 (2)'!G177+'3.7.2 (2)'!G199+'3.7.2 (2)'!G200+0.01</f>
        <v>8876387.0180264004</v>
      </c>
      <c r="E12" s="169">
        <f>'3.7.2 (2)'!H22+'3.7.2 (2)'!H45+'3.7.2 (2)'!H67+'3.7.2 (2)'!H89+'3.7.2 (2)'!H111+'3.7.2 (2)'!H133+'3.7.2 (2)'!H177+'3.7.2 (2)'!H199+'3.7.2 (2)'!H200</f>
        <v>7818879.0703476015</v>
      </c>
    </row>
    <row r="13" spans="1:5" ht="22.5" customHeight="1" x14ac:dyDescent="0.2">
      <c r="A13" s="12" t="s">
        <v>342</v>
      </c>
      <c r="B13" s="13"/>
      <c r="C13" s="162">
        <f>'3.7.2 (2)'!F155</f>
        <v>251341.75291999994</v>
      </c>
      <c r="D13" s="169">
        <f>'3.7.2 (2)'!G155</f>
        <v>251341.75291999994</v>
      </c>
      <c r="E13" s="169">
        <f>'3.7.2 (2)'!H155</f>
        <v>251341.75291999994</v>
      </c>
    </row>
    <row r="14" spans="1:5" ht="25.5" x14ac:dyDescent="0.2">
      <c r="A14" s="6" t="s">
        <v>195</v>
      </c>
      <c r="B14" s="2">
        <v>400</v>
      </c>
      <c r="C14" s="46"/>
      <c r="D14" s="46"/>
      <c r="E14" s="46"/>
    </row>
    <row r="15" spans="1:5" ht="38.25" x14ac:dyDescent="0.2">
      <c r="A15" s="6" t="s">
        <v>196</v>
      </c>
      <c r="B15" s="2">
        <v>500</v>
      </c>
      <c r="C15" s="46"/>
      <c r="D15" s="46"/>
      <c r="E15" s="46"/>
    </row>
    <row r="16" spans="1:5" ht="38.25" x14ac:dyDescent="0.2">
      <c r="A16" s="6" t="s">
        <v>197</v>
      </c>
      <c r="B16" s="168">
        <v>600</v>
      </c>
      <c r="C16" s="169">
        <f>C9+C10+C11+C14+C15</f>
        <v>9235567.3893325999</v>
      </c>
      <c r="D16" s="169">
        <f>D9+D10+D11+D14+D15</f>
        <v>9127728.7709464002</v>
      </c>
      <c r="E16" s="169">
        <f>E9+E10+E11+E14+E15</f>
        <v>8070220.8232676014</v>
      </c>
    </row>
  </sheetData>
  <mergeCells count="5">
    <mergeCell ref="A5:A7"/>
    <mergeCell ref="B5:B7"/>
    <mergeCell ref="C5:E5"/>
    <mergeCell ref="A1:E1"/>
    <mergeCell ref="A3:E3"/>
  </mergeCells>
  <phoneticPr fontId="15" type="noConversion"/>
  <pageMargins left="0.7" right="0.7" top="0.75" bottom="0.75" header="0.3" footer="0.3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06"/>
  <sheetViews>
    <sheetView view="pageBreakPreview" topLeftCell="A184" zoomScale="87" zoomScaleSheetLayoutView="87" workbookViewId="0">
      <selection activeCell="G207" sqref="G207"/>
    </sheetView>
  </sheetViews>
  <sheetFormatPr defaultRowHeight="12.75" x14ac:dyDescent="0.2"/>
  <cols>
    <col min="1" max="1" width="49.28515625" style="3" customWidth="1"/>
    <col min="2" max="2" width="9.140625" style="3"/>
    <col min="3" max="5" width="14.140625" style="3" customWidth="1"/>
    <col min="6" max="6" width="16.85546875" style="3" customWidth="1"/>
    <col min="7" max="7" width="16.5703125" style="3" customWidth="1"/>
    <col min="8" max="8" width="17.28515625" style="3" customWidth="1"/>
    <col min="9" max="10" width="9.140625" style="3"/>
    <col min="11" max="11" width="31.7109375" style="3" customWidth="1"/>
    <col min="12" max="16384" width="9.140625" style="3"/>
  </cols>
  <sheetData>
    <row r="1" spans="1:11" x14ac:dyDescent="0.2">
      <c r="A1" s="14" t="s">
        <v>214</v>
      </c>
      <c r="B1" s="14"/>
      <c r="C1" s="14"/>
      <c r="D1" s="14"/>
      <c r="E1" s="14"/>
    </row>
    <row r="2" spans="1:11" x14ac:dyDescent="0.2">
      <c r="C2" s="404" t="s">
        <v>427</v>
      </c>
      <c r="D2" s="404"/>
      <c r="E2" s="404"/>
    </row>
    <row r="3" spans="1:11" ht="26.25" customHeight="1" x14ac:dyDescent="0.2">
      <c r="A3" s="388" t="s">
        <v>200</v>
      </c>
      <c r="B3" s="388" t="s">
        <v>1</v>
      </c>
      <c r="C3" s="388" t="s">
        <v>201</v>
      </c>
      <c r="D3" s="388"/>
      <c r="E3" s="388"/>
      <c r="F3" s="388" t="s">
        <v>202</v>
      </c>
      <c r="G3" s="388"/>
      <c r="H3" s="388"/>
    </row>
    <row r="4" spans="1:11" ht="15" customHeight="1" x14ac:dyDescent="0.2">
      <c r="A4" s="388"/>
      <c r="B4" s="388"/>
      <c r="C4" s="16" t="s">
        <v>418</v>
      </c>
      <c r="D4" s="16" t="s">
        <v>548</v>
      </c>
      <c r="E4" s="16" t="s">
        <v>583</v>
      </c>
      <c r="F4" s="16" t="s">
        <v>418</v>
      </c>
      <c r="G4" s="16" t="s">
        <v>548</v>
      </c>
      <c r="H4" s="16" t="s">
        <v>583</v>
      </c>
    </row>
    <row r="5" spans="1:11" ht="38.25" x14ac:dyDescent="0.2">
      <c r="A5" s="388"/>
      <c r="B5" s="388"/>
      <c r="C5" s="2" t="s">
        <v>73</v>
      </c>
      <c r="D5" s="2" t="s">
        <v>74</v>
      </c>
      <c r="E5" s="2" t="s">
        <v>75</v>
      </c>
      <c r="F5" s="2" t="s">
        <v>73</v>
      </c>
      <c r="G5" s="2" t="s">
        <v>74</v>
      </c>
      <c r="H5" s="2" t="s">
        <v>75</v>
      </c>
      <c r="K5" s="42"/>
    </row>
    <row r="6" spans="1:11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</row>
    <row r="7" spans="1:11" ht="25.5" x14ac:dyDescent="0.2">
      <c r="A7" s="6" t="s">
        <v>203</v>
      </c>
      <c r="B7" s="2">
        <v>100</v>
      </c>
      <c r="C7" s="5"/>
      <c r="D7" s="5"/>
      <c r="E7" s="5"/>
      <c r="F7" s="5">
        <f>F8+F10+F11</f>
        <v>4064268.5087840008</v>
      </c>
      <c r="G7" s="5">
        <f>G8</f>
        <v>4064285.2617840008</v>
      </c>
      <c r="H7" s="5">
        <f>H8</f>
        <v>4064285.2617840008</v>
      </c>
    </row>
    <row r="8" spans="1:11" x14ac:dyDescent="0.2">
      <c r="A8" s="6" t="s">
        <v>14</v>
      </c>
      <c r="B8" s="388">
        <v>110</v>
      </c>
      <c r="C8" s="403">
        <f>'3.6.3 (2)'!L18</f>
        <v>18473947.767200004</v>
      </c>
      <c r="D8" s="403">
        <f>'3.6.4 (2)'!L18</f>
        <v>18474023.917200003</v>
      </c>
      <c r="E8" s="403">
        <f>'3.6.5 (2)'!L18</f>
        <v>18474023.917200003</v>
      </c>
      <c r="F8" s="403">
        <f>C8/100*22</f>
        <v>4064268.5087840008</v>
      </c>
      <c r="G8" s="403">
        <f>D8*22%</f>
        <v>4064285.2617840008</v>
      </c>
      <c r="H8" s="403">
        <f>E8*22%</f>
        <v>4064285.2617840008</v>
      </c>
    </row>
    <row r="9" spans="1:11" x14ac:dyDescent="0.2">
      <c r="A9" s="6" t="s">
        <v>204</v>
      </c>
      <c r="B9" s="388"/>
      <c r="C9" s="403"/>
      <c r="D9" s="403"/>
      <c r="E9" s="403"/>
      <c r="F9" s="403"/>
      <c r="G9" s="403"/>
      <c r="H9" s="403"/>
    </row>
    <row r="10" spans="1:11" x14ac:dyDescent="0.2">
      <c r="A10" s="6" t="s">
        <v>205</v>
      </c>
      <c r="B10" s="2">
        <v>120</v>
      </c>
      <c r="C10" s="5"/>
      <c r="D10" s="5"/>
      <c r="E10" s="5"/>
      <c r="F10" s="5"/>
      <c r="G10" s="5"/>
      <c r="H10" s="5"/>
    </row>
    <row r="11" spans="1:11" ht="38.25" x14ac:dyDescent="0.2">
      <c r="A11" s="6" t="s">
        <v>206</v>
      </c>
      <c r="B11" s="2">
        <v>130</v>
      </c>
      <c r="C11" s="5"/>
      <c r="D11" s="5"/>
      <c r="E11" s="5"/>
      <c r="F11" s="5"/>
      <c r="G11" s="5"/>
      <c r="H11" s="5"/>
    </row>
    <row r="12" spans="1:11" ht="25.5" x14ac:dyDescent="0.2">
      <c r="A12" s="6" t="s">
        <v>207</v>
      </c>
      <c r="B12" s="2">
        <v>200</v>
      </c>
      <c r="C12" s="5"/>
      <c r="D12" s="5"/>
      <c r="E12" s="5"/>
      <c r="F12" s="5">
        <f>F13+F16</f>
        <v>572692.38078320015</v>
      </c>
      <c r="G12" s="5">
        <f>G13+G16</f>
        <v>572694.74143320008</v>
      </c>
      <c r="H12" s="5">
        <f>H13+H16</f>
        <v>572694.74143320008</v>
      </c>
    </row>
    <row r="13" spans="1:11" x14ac:dyDescent="0.2">
      <c r="A13" s="6" t="s">
        <v>14</v>
      </c>
      <c r="B13" s="388">
        <v>210</v>
      </c>
      <c r="C13" s="403">
        <f>C8</f>
        <v>18473947.767200004</v>
      </c>
      <c r="D13" s="403">
        <f>D8</f>
        <v>18474023.917200003</v>
      </c>
      <c r="E13" s="403">
        <f>E8</f>
        <v>18474023.917200003</v>
      </c>
      <c r="F13" s="403">
        <f>C13/100*2.9</f>
        <v>535744.48524880013</v>
      </c>
      <c r="G13" s="403">
        <f>D13/100*2.9</f>
        <v>535746.69359880011</v>
      </c>
      <c r="H13" s="403">
        <f>E13/100*2.9</f>
        <v>535746.69359880011</v>
      </c>
    </row>
    <row r="14" spans="1:11" ht="38.25" x14ac:dyDescent="0.2">
      <c r="A14" s="6" t="s">
        <v>208</v>
      </c>
      <c r="B14" s="388"/>
      <c r="C14" s="403"/>
      <c r="D14" s="403"/>
      <c r="E14" s="403"/>
      <c r="F14" s="403"/>
      <c r="G14" s="403"/>
      <c r="H14" s="403"/>
    </row>
    <row r="15" spans="1:11" ht="25.5" x14ac:dyDescent="0.2">
      <c r="A15" s="6" t="s">
        <v>209</v>
      </c>
      <c r="B15" s="2">
        <v>220</v>
      </c>
      <c r="C15" s="5"/>
      <c r="D15" s="5"/>
      <c r="E15" s="5"/>
      <c r="F15" s="5"/>
      <c r="G15" s="5"/>
      <c r="H15" s="5"/>
    </row>
    <row r="16" spans="1:11" ht="38.25" x14ac:dyDescent="0.2">
      <c r="A16" s="6" t="s">
        <v>210</v>
      </c>
      <c r="B16" s="2">
        <v>230</v>
      </c>
      <c r="C16" s="5">
        <f>C8</f>
        <v>18473947.767200004</v>
      </c>
      <c r="D16" s="5">
        <f>D8</f>
        <v>18474023.917200003</v>
      </c>
      <c r="E16" s="5">
        <f>E13</f>
        <v>18474023.917200003</v>
      </c>
      <c r="F16" s="5">
        <f>C16/100*0.2</f>
        <v>36947.895534400006</v>
      </c>
      <c r="G16" s="5">
        <f>D16/100*0.2</f>
        <v>36948.047834400008</v>
      </c>
      <c r="H16" s="5">
        <f>E16/100*0.2</f>
        <v>36948.047834400008</v>
      </c>
    </row>
    <row r="17" spans="1:8" ht="38.25" x14ac:dyDescent="0.2">
      <c r="A17" s="4" t="s">
        <v>211</v>
      </c>
      <c r="B17" s="2">
        <v>240</v>
      </c>
      <c r="C17" s="5"/>
      <c r="D17" s="5"/>
      <c r="E17" s="5"/>
      <c r="F17" s="5"/>
      <c r="G17" s="5"/>
      <c r="H17" s="5"/>
    </row>
    <row r="18" spans="1:8" ht="38.25" x14ac:dyDescent="0.2">
      <c r="A18" s="4" t="s">
        <v>211</v>
      </c>
      <c r="B18" s="6"/>
      <c r="C18" s="5"/>
      <c r="D18" s="5"/>
      <c r="E18" s="5"/>
      <c r="F18" s="5"/>
      <c r="G18" s="5"/>
      <c r="H18" s="5"/>
    </row>
    <row r="19" spans="1:8" ht="25.5" x14ac:dyDescent="0.2">
      <c r="A19" s="6" t="s">
        <v>212</v>
      </c>
      <c r="B19" s="2">
        <v>300</v>
      </c>
      <c r="C19" s="5">
        <f>C8</f>
        <v>18473947.767200004</v>
      </c>
      <c r="D19" s="5">
        <f>D8</f>
        <v>18474023.917200003</v>
      </c>
      <c r="E19" s="5">
        <f>E16</f>
        <v>18474023.917200003</v>
      </c>
      <c r="F19" s="5">
        <f>F20</f>
        <v>942171.33612720016</v>
      </c>
      <c r="G19" s="5">
        <f>G20</f>
        <v>942175.30977720011</v>
      </c>
      <c r="H19" s="5">
        <f>H20</f>
        <v>942175.30977720011</v>
      </c>
    </row>
    <row r="20" spans="1:8" x14ac:dyDescent="0.2">
      <c r="A20" s="6" t="s">
        <v>14</v>
      </c>
      <c r="B20" s="388">
        <v>310</v>
      </c>
      <c r="C20" s="403">
        <f>C8</f>
        <v>18473947.767200004</v>
      </c>
      <c r="D20" s="403">
        <f>D8</f>
        <v>18474023.917200003</v>
      </c>
      <c r="E20" s="403">
        <f>E19</f>
        <v>18474023.917200003</v>
      </c>
      <c r="F20" s="403">
        <f>C20*5.1%</f>
        <v>942171.33612720016</v>
      </c>
      <c r="G20" s="403">
        <f>D20*5.1%+0.09</f>
        <v>942175.30977720011</v>
      </c>
      <c r="H20" s="403">
        <f>E20*5.1%+0.09</f>
        <v>942175.30977720011</v>
      </c>
    </row>
    <row r="21" spans="1:8" ht="25.5" x14ac:dyDescent="0.2">
      <c r="A21" s="6" t="s">
        <v>213</v>
      </c>
      <c r="B21" s="388"/>
      <c r="C21" s="403"/>
      <c r="D21" s="403"/>
      <c r="E21" s="403"/>
      <c r="F21" s="403"/>
      <c r="G21" s="403"/>
      <c r="H21" s="403"/>
    </row>
    <row r="22" spans="1:8" ht="21.75" customHeight="1" x14ac:dyDescent="0.2">
      <c r="A22" s="6" t="s">
        <v>133</v>
      </c>
      <c r="B22" s="2">
        <v>9000</v>
      </c>
      <c r="C22" s="2" t="s">
        <v>11</v>
      </c>
      <c r="D22" s="2" t="s">
        <v>11</v>
      </c>
      <c r="E22" s="2" t="s">
        <v>11</v>
      </c>
      <c r="F22" s="236">
        <f>F7+F12+F19-0.01</f>
        <v>5579132.2156944014</v>
      </c>
      <c r="G22" s="236">
        <f>G7+G12+G19-0.11</f>
        <v>5579155.2029944006</v>
      </c>
      <c r="H22" s="236">
        <f>H7+H12+H19+0.12</f>
        <v>5579155.4329944011</v>
      </c>
    </row>
    <row r="25" spans="1:8" ht="16.5" customHeight="1" x14ac:dyDescent="0.2">
      <c r="C25" s="404" t="s">
        <v>430</v>
      </c>
      <c r="D25" s="404"/>
      <c r="E25" s="404"/>
    </row>
    <row r="26" spans="1:8" ht="25.5" customHeight="1" x14ac:dyDescent="0.2">
      <c r="A26" s="388" t="s">
        <v>200</v>
      </c>
      <c r="B26" s="388" t="s">
        <v>1</v>
      </c>
      <c r="C26" s="388" t="s">
        <v>201</v>
      </c>
      <c r="D26" s="388"/>
      <c r="E26" s="388"/>
      <c r="F26" s="388" t="s">
        <v>202</v>
      </c>
      <c r="G26" s="388"/>
      <c r="H26" s="388"/>
    </row>
    <row r="27" spans="1:8" ht="16.5" customHeight="1" x14ac:dyDescent="0.2">
      <c r="A27" s="388"/>
      <c r="B27" s="388"/>
      <c r="C27" s="16" t="s">
        <v>418</v>
      </c>
      <c r="D27" s="16" t="s">
        <v>548</v>
      </c>
      <c r="E27" s="16" t="s">
        <v>583</v>
      </c>
      <c r="F27" s="16" t="s">
        <v>418</v>
      </c>
      <c r="G27" s="16" t="s">
        <v>548</v>
      </c>
      <c r="H27" s="16" t="s">
        <v>583</v>
      </c>
    </row>
    <row r="28" spans="1:8" ht="38.25" x14ac:dyDescent="0.2">
      <c r="A28" s="388"/>
      <c r="B28" s="388"/>
      <c r="C28" s="2" t="s">
        <v>73</v>
      </c>
      <c r="D28" s="2" t="s">
        <v>74</v>
      </c>
      <c r="E28" s="2" t="s">
        <v>75</v>
      </c>
      <c r="F28" s="2" t="s">
        <v>73</v>
      </c>
      <c r="G28" s="2" t="s">
        <v>74</v>
      </c>
      <c r="H28" s="160" t="s">
        <v>75</v>
      </c>
    </row>
    <row r="29" spans="1:8" x14ac:dyDescent="0.2">
      <c r="A29" s="2">
        <v>1</v>
      </c>
      <c r="B29" s="2">
        <v>2</v>
      </c>
      <c r="C29" s="2">
        <v>3</v>
      </c>
      <c r="D29" s="2">
        <v>4</v>
      </c>
      <c r="E29" s="2">
        <v>5</v>
      </c>
      <c r="F29" s="2">
        <v>6</v>
      </c>
      <c r="G29" s="2">
        <v>7</v>
      </c>
      <c r="H29" s="2">
        <v>8</v>
      </c>
    </row>
    <row r="30" spans="1:8" ht="25.5" x14ac:dyDescent="0.2">
      <c r="A30" s="6" t="s">
        <v>203</v>
      </c>
      <c r="B30" s="2">
        <v>100</v>
      </c>
      <c r="C30" s="5"/>
      <c r="D30" s="5"/>
      <c r="E30" s="5"/>
      <c r="F30" s="5">
        <f>F31+F33+F34</f>
        <v>151264.51991200002</v>
      </c>
      <c r="G30" s="5">
        <f>G31</f>
        <v>151262.44443200002</v>
      </c>
      <c r="H30" s="5">
        <f>H31</f>
        <v>151262.44443200002</v>
      </c>
    </row>
    <row r="31" spans="1:8" x14ac:dyDescent="0.2">
      <c r="A31" s="6" t="s">
        <v>14</v>
      </c>
      <c r="B31" s="388">
        <v>110</v>
      </c>
      <c r="C31" s="403">
        <f>'3.6.3 (2)'!L30</f>
        <v>687565.9996000001</v>
      </c>
      <c r="D31" s="403">
        <f>'3.6.4 (2)'!L30</f>
        <v>687556.56560000009</v>
      </c>
      <c r="E31" s="403">
        <f>'3.6.5 (2)'!L30</f>
        <v>687556.56560000009</v>
      </c>
      <c r="F31" s="403">
        <f>C31/100*22</f>
        <v>151264.51991200002</v>
      </c>
      <c r="G31" s="403">
        <f>D31*22%</f>
        <v>151262.44443200002</v>
      </c>
      <c r="H31" s="403">
        <f>E31*22%</f>
        <v>151262.44443200002</v>
      </c>
    </row>
    <row r="32" spans="1:8" x14ac:dyDescent="0.2">
      <c r="A32" s="6" t="s">
        <v>204</v>
      </c>
      <c r="B32" s="388"/>
      <c r="C32" s="403"/>
      <c r="D32" s="403"/>
      <c r="E32" s="403"/>
      <c r="F32" s="403"/>
      <c r="G32" s="403"/>
      <c r="H32" s="403"/>
    </row>
    <row r="33" spans="1:8" x14ac:dyDescent="0.2">
      <c r="A33" s="6" t="s">
        <v>205</v>
      </c>
      <c r="B33" s="2">
        <v>120</v>
      </c>
      <c r="C33" s="5"/>
      <c r="D33" s="5"/>
      <c r="E33" s="5"/>
      <c r="F33" s="5"/>
      <c r="G33" s="5"/>
      <c r="H33" s="5"/>
    </row>
    <row r="34" spans="1:8" ht="38.25" x14ac:dyDescent="0.2">
      <c r="A34" s="6" t="s">
        <v>206</v>
      </c>
      <c r="B34" s="2">
        <v>130</v>
      </c>
      <c r="C34" s="5"/>
      <c r="D34" s="5"/>
      <c r="E34" s="5"/>
      <c r="F34" s="5"/>
      <c r="G34" s="5"/>
      <c r="H34" s="5"/>
    </row>
    <row r="35" spans="1:8" ht="25.5" x14ac:dyDescent="0.2">
      <c r="A35" s="6" t="s">
        <v>207</v>
      </c>
      <c r="B35" s="2">
        <v>200</v>
      </c>
      <c r="C35" s="5"/>
      <c r="D35" s="5"/>
      <c r="E35" s="5"/>
      <c r="F35" s="5">
        <f>F36+F39</f>
        <v>21314.545987600002</v>
      </c>
      <c r="G35" s="5">
        <f>G36+G39</f>
        <v>21314.2535336</v>
      </c>
      <c r="H35" s="5">
        <f>H36+H39</f>
        <v>21314.2535336</v>
      </c>
    </row>
    <row r="36" spans="1:8" x14ac:dyDescent="0.2">
      <c r="A36" s="6" t="s">
        <v>14</v>
      </c>
      <c r="B36" s="388">
        <v>210</v>
      </c>
      <c r="C36" s="403">
        <f>C31</f>
        <v>687565.9996000001</v>
      </c>
      <c r="D36" s="403">
        <f>D31</f>
        <v>687556.56560000009</v>
      </c>
      <c r="E36" s="403">
        <f>E31</f>
        <v>687556.56560000009</v>
      </c>
      <c r="F36" s="403">
        <f>C36/100*2.9</f>
        <v>19939.413988400003</v>
      </c>
      <c r="G36" s="403">
        <f>D36*2.9%</f>
        <v>19939.1404024</v>
      </c>
      <c r="H36" s="403">
        <f>E36*2.9%</f>
        <v>19939.1404024</v>
      </c>
    </row>
    <row r="37" spans="1:8" ht="38.25" x14ac:dyDescent="0.2">
      <c r="A37" s="6" t="s">
        <v>208</v>
      </c>
      <c r="B37" s="388"/>
      <c r="C37" s="403"/>
      <c r="D37" s="403"/>
      <c r="E37" s="403"/>
      <c r="F37" s="403"/>
      <c r="G37" s="403"/>
      <c r="H37" s="403"/>
    </row>
    <row r="38" spans="1:8" ht="25.5" x14ac:dyDescent="0.2">
      <c r="A38" s="6" t="s">
        <v>209</v>
      </c>
      <c r="B38" s="2">
        <v>220</v>
      </c>
      <c r="C38" s="5"/>
      <c r="D38" s="5"/>
      <c r="E38" s="5"/>
      <c r="F38" s="5"/>
      <c r="G38" s="5"/>
      <c r="H38" s="5"/>
    </row>
    <row r="39" spans="1:8" ht="38.25" x14ac:dyDescent="0.2">
      <c r="A39" s="6" t="s">
        <v>210</v>
      </c>
      <c r="B39" s="2">
        <v>230</v>
      </c>
      <c r="C39" s="5">
        <f>C31</f>
        <v>687565.9996000001</v>
      </c>
      <c r="D39" s="5">
        <f>D31</f>
        <v>687556.56560000009</v>
      </c>
      <c r="E39" s="5">
        <f>E31</f>
        <v>687556.56560000009</v>
      </c>
      <c r="F39" s="5">
        <f>C39/100*0.2</f>
        <v>1375.1319992000003</v>
      </c>
      <c r="G39" s="5">
        <f>D39*0.2%</f>
        <v>1375.1131312000002</v>
      </c>
      <c r="H39" s="5">
        <f>E39*0.2%</f>
        <v>1375.1131312000002</v>
      </c>
    </row>
    <row r="40" spans="1:8" ht="38.25" x14ac:dyDescent="0.2">
      <c r="A40" s="4" t="s">
        <v>211</v>
      </c>
      <c r="B40" s="2">
        <v>240</v>
      </c>
      <c r="C40" s="5"/>
      <c r="D40" s="5"/>
      <c r="E40" s="5"/>
      <c r="F40" s="5"/>
      <c r="G40" s="5"/>
      <c r="H40" s="5"/>
    </row>
    <row r="41" spans="1:8" ht="38.25" x14ac:dyDescent="0.2">
      <c r="A41" s="4" t="s">
        <v>211</v>
      </c>
      <c r="B41" s="6"/>
      <c r="C41" s="5"/>
      <c r="D41" s="5"/>
      <c r="E41" s="5"/>
      <c r="F41" s="5"/>
      <c r="G41" s="5"/>
      <c r="H41" s="5"/>
    </row>
    <row r="42" spans="1:8" ht="25.5" x14ac:dyDescent="0.2">
      <c r="A42" s="6" t="s">
        <v>212</v>
      </c>
      <c r="B42" s="2">
        <v>300</v>
      </c>
      <c r="C42" s="5">
        <f>C31</f>
        <v>687565.9996000001</v>
      </c>
      <c r="D42" s="5">
        <f>D31</f>
        <v>687556.56560000009</v>
      </c>
      <c r="E42" s="5">
        <f>E31</f>
        <v>687556.56560000009</v>
      </c>
      <c r="F42" s="5">
        <f>F43</f>
        <v>35065.865979599999</v>
      </c>
      <c r="G42" s="5">
        <f>G43</f>
        <v>35065.384845600005</v>
      </c>
      <c r="H42" s="5">
        <f>H43</f>
        <v>35065.384845600005</v>
      </c>
    </row>
    <row r="43" spans="1:8" x14ac:dyDescent="0.2">
      <c r="A43" s="6" t="s">
        <v>14</v>
      </c>
      <c r="B43" s="388">
        <v>310</v>
      </c>
      <c r="C43" s="403">
        <f>C31</f>
        <v>687565.9996000001</v>
      </c>
      <c r="D43" s="403">
        <f>D31</f>
        <v>687556.56560000009</v>
      </c>
      <c r="E43" s="403">
        <f>E31</f>
        <v>687556.56560000009</v>
      </c>
      <c r="F43" s="403">
        <f>C43*5.1%</f>
        <v>35065.865979599999</v>
      </c>
      <c r="G43" s="403">
        <f>D43*5.1%</f>
        <v>35065.384845600005</v>
      </c>
      <c r="H43" s="403">
        <f>E43*5.1%</f>
        <v>35065.384845600005</v>
      </c>
    </row>
    <row r="44" spans="1:8" ht="25.5" x14ac:dyDescent="0.2">
      <c r="A44" s="6" t="s">
        <v>213</v>
      </c>
      <c r="B44" s="388"/>
      <c r="C44" s="403"/>
      <c r="D44" s="403"/>
      <c r="E44" s="403"/>
      <c r="F44" s="403"/>
      <c r="G44" s="403"/>
      <c r="H44" s="403"/>
    </row>
    <row r="45" spans="1:8" ht="24" customHeight="1" x14ac:dyDescent="0.2">
      <c r="A45" s="6" t="s">
        <v>133</v>
      </c>
      <c r="B45" s="2">
        <v>9000</v>
      </c>
      <c r="C45" s="2" t="s">
        <v>11</v>
      </c>
      <c r="D45" s="2" t="s">
        <v>11</v>
      </c>
      <c r="E45" s="2" t="s">
        <v>11</v>
      </c>
      <c r="F45" s="236">
        <f>F30+F35+F42</f>
        <v>207644.93187920001</v>
      </c>
      <c r="G45" s="236">
        <v>207642.09</v>
      </c>
      <c r="H45" s="236">
        <f>H30+H35+H42-0.93</f>
        <v>207641.15281120001</v>
      </c>
    </row>
    <row r="47" spans="1:8" x14ac:dyDescent="0.2">
      <c r="C47" s="404" t="s">
        <v>428</v>
      </c>
      <c r="D47" s="404"/>
      <c r="E47" s="404"/>
    </row>
    <row r="48" spans="1:8" x14ac:dyDescent="0.2">
      <c r="A48" s="388" t="s">
        <v>200</v>
      </c>
      <c r="B48" s="388" t="s">
        <v>1</v>
      </c>
      <c r="C48" s="388" t="s">
        <v>201</v>
      </c>
      <c r="D48" s="388"/>
      <c r="E48" s="388"/>
      <c r="F48" s="388" t="s">
        <v>202</v>
      </c>
      <c r="G48" s="388"/>
      <c r="H48" s="388"/>
    </row>
    <row r="49" spans="1:8" x14ac:dyDescent="0.2">
      <c r="A49" s="388"/>
      <c r="B49" s="388"/>
      <c r="C49" s="16" t="s">
        <v>418</v>
      </c>
      <c r="D49" s="16" t="s">
        <v>548</v>
      </c>
      <c r="E49" s="16" t="s">
        <v>583</v>
      </c>
      <c r="F49" s="16" t="s">
        <v>418</v>
      </c>
      <c r="G49" s="16" t="s">
        <v>548</v>
      </c>
      <c r="H49" s="16" t="s">
        <v>583</v>
      </c>
    </row>
    <row r="50" spans="1:8" ht="38.25" x14ac:dyDescent="0.2">
      <c r="A50" s="388"/>
      <c r="B50" s="388"/>
      <c r="C50" s="2" t="s">
        <v>73</v>
      </c>
      <c r="D50" s="2" t="s">
        <v>74</v>
      </c>
      <c r="E50" s="2" t="s">
        <v>75</v>
      </c>
      <c r="F50" s="2" t="s">
        <v>73</v>
      </c>
      <c r="G50" s="2" t="s">
        <v>74</v>
      </c>
      <c r="H50" s="2" t="s">
        <v>75</v>
      </c>
    </row>
    <row r="51" spans="1:8" x14ac:dyDescent="0.2">
      <c r="A51" s="2">
        <v>1</v>
      </c>
      <c r="B51" s="2">
        <v>2</v>
      </c>
      <c r="C51" s="2">
        <v>3</v>
      </c>
      <c r="D51" s="2">
        <v>4</v>
      </c>
      <c r="E51" s="2">
        <v>5</v>
      </c>
      <c r="F51" s="2">
        <v>6</v>
      </c>
      <c r="G51" s="2">
        <v>7</v>
      </c>
      <c r="H51" s="2">
        <v>8</v>
      </c>
    </row>
    <row r="52" spans="1:8" ht="25.5" x14ac:dyDescent="0.2">
      <c r="A52" s="6" t="s">
        <v>203</v>
      </c>
      <c r="B52" s="2">
        <v>100</v>
      </c>
      <c r="C52" s="5"/>
      <c r="D52" s="5"/>
      <c r="E52" s="5"/>
      <c r="F52" s="5">
        <f>F53+F55+F56</f>
        <v>769314.42191999999</v>
      </c>
      <c r="G52" s="5">
        <f>G53</f>
        <v>701187.07912000001</v>
      </c>
      <c r="H52" s="5">
        <f>H53</f>
        <v>701204.19072000007</v>
      </c>
    </row>
    <row r="53" spans="1:8" x14ac:dyDescent="0.2">
      <c r="A53" s="6" t="s">
        <v>14</v>
      </c>
      <c r="B53" s="388">
        <v>110</v>
      </c>
      <c r="C53" s="403">
        <f>'3.6.3 (2)'!L52</f>
        <v>3496883.736</v>
      </c>
      <c r="D53" s="403">
        <f>'3.6.4 (2)'!L57</f>
        <v>3187213.9959999998</v>
      </c>
      <c r="E53" s="403">
        <f>'3.6.5 (2)'!L51</f>
        <v>3187291.7760000001</v>
      </c>
      <c r="F53" s="403">
        <f>C53/100*22</f>
        <v>769314.42191999999</v>
      </c>
      <c r="G53" s="403">
        <f>D53*22%</f>
        <v>701187.07912000001</v>
      </c>
      <c r="H53" s="403">
        <f>E53*22%</f>
        <v>701204.19072000007</v>
      </c>
    </row>
    <row r="54" spans="1:8" x14ac:dyDescent="0.2">
      <c r="A54" s="6" t="s">
        <v>204</v>
      </c>
      <c r="B54" s="388"/>
      <c r="C54" s="403"/>
      <c r="D54" s="403"/>
      <c r="E54" s="403"/>
      <c r="F54" s="403"/>
      <c r="G54" s="403"/>
      <c r="H54" s="403"/>
    </row>
    <row r="55" spans="1:8" x14ac:dyDescent="0.2">
      <c r="A55" s="6" t="s">
        <v>205</v>
      </c>
      <c r="B55" s="2">
        <v>120</v>
      </c>
      <c r="C55" s="5"/>
      <c r="D55" s="5"/>
      <c r="E55" s="5"/>
      <c r="F55" s="5"/>
      <c r="G55" s="5"/>
      <c r="H55" s="5"/>
    </row>
    <row r="56" spans="1:8" ht="38.25" x14ac:dyDescent="0.2">
      <c r="A56" s="6" t="s">
        <v>206</v>
      </c>
      <c r="B56" s="2">
        <v>130</v>
      </c>
      <c r="C56" s="5"/>
      <c r="D56" s="5"/>
      <c r="E56" s="5"/>
      <c r="F56" s="5"/>
      <c r="G56" s="5"/>
      <c r="H56" s="5"/>
    </row>
    <row r="57" spans="1:8" ht="25.5" x14ac:dyDescent="0.2">
      <c r="A57" s="6" t="s">
        <v>207</v>
      </c>
      <c r="B57" s="2">
        <v>200</v>
      </c>
      <c r="C57" s="5"/>
      <c r="D57" s="5"/>
      <c r="E57" s="5"/>
      <c r="F57" s="5">
        <f>F58+F61</f>
        <v>108403.395816</v>
      </c>
      <c r="G57" s="5">
        <f>G58+G61</f>
        <v>98803.633875999978</v>
      </c>
      <c r="H57" s="5">
        <f>H58+H61</f>
        <v>98806.045055999988</v>
      </c>
    </row>
    <row r="58" spans="1:8" x14ac:dyDescent="0.2">
      <c r="A58" s="6" t="s">
        <v>14</v>
      </c>
      <c r="B58" s="388">
        <v>210</v>
      </c>
      <c r="C58" s="403">
        <f>C53</f>
        <v>3496883.736</v>
      </c>
      <c r="D58" s="403">
        <f>D53</f>
        <v>3187213.9959999998</v>
      </c>
      <c r="E58" s="403">
        <f>E53</f>
        <v>3187291.7760000001</v>
      </c>
      <c r="F58" s="403">
        <f>C58/100*2.9</f>
        <v>101409.628344</v>
      </c>
      <c r="G58" s="403">
        <f>D58*2.9%</f>
        <v>92429.205883999981</v>
      </c>
      <c r="H58" s="403">
        <f>E58*2.9%</f>
        <v>92431.461503999992</v>
      </c>
    </row>
    <row r="59" spans="1:8" ht="38.25" x14ac:dyDescent="0.2">
      <c r="A59" s="6" t="s">
        <v>208</v>
      </c>
      <c r="B59" s="388"/>
      <c r="C59" s="403"/>
      <c r="D59" s="403"/>
      <c r="E59" s="403"/>
      <c r="F59" s="403"/>
      <c r="G59" s="403"/>
      <c r="H59" s="403"/>
    </row>
    <row r="60" spans="1:8" ht="25.5" x14ac:dyDescent="0.2">
      <c r="A60" s="6" t="s">
        <v>209</v>
      </c>
      <c r="B60" s="2">
        <v>220</v>
      </c>
      <c r="C60" s="5"/>
      <c r="D60" s="5"/>
      <c r="E60" s="5"/>
      <c r="F60" s="5"/>
      <c r="G60" s="5"/>
      <c r="H60" s="5"/>
    </row>
    <row r="61" spans="1:8" ht="38.25" x14ac:dyDescent="0.2">
      <c r="A61" s="6" t="s">
        <v>210</v>
      </c>
      <c r="B61" s="2">
        <v>230</v>
      </c>
      <c r="C61" s="5">
        <f>C53</f>
        <v>3496883.736</v>
      </c>
      <c r="D61" s="5">
        <f>D58</f>
        <v>3187213.9959999998</v>
      </c>
      <c r="E61" s="5">
        <f>E58</f>
        <v>3187291.7760000001</v>
      </c>
      <c r="F61" s="5">
        <f>C61/100*0.2</f>
        <v>6993.7674719999995</v>
      </c>
      <c r="G61" s="5">
        <f>D61*0.2%</f>
        <v>6374.4279919999999</v>
      </c>
      <c r="H61" s="5">
        <f>E61*0.2%</f>
        <v>6374.5835520000001</v>
      </c>
    </row>
    <row r="62" spans="1:8" ht="38.25" x14ac:dyDescent="0.2">
      <c r="A62" s="4" t="s">
        <v>211</v>
      </c>
      <c r="B62" s="2">
        <v>240</v>
      </c>
      <c r="C62" s="5"/>
      <c r="D62" s="5"/>
      <c r="E62" s="5"/>
      <c r="F62" s="5"/>
      <c r="G62" s="5"/>
      <c r="H62" s="5"/>
    </row>
    <row r="63" spans="1:8" ht="38.25" x14ac:dyDescent="0.2">
      <c r="A63" s="4" t="s">
        <v>211</v>
      </c>
      <c r="B63" s="6"/>
      <c r="C63" s="5"/>
      <c r="D63" s="5"/>
      <c r="E63" s="5"/>
      <c r="F63" s="5"/>
      <c r="G63" s="5"/>
      <c r="H63" s="5"/>
    </row>
    <row r="64" spans="1:8" ht="25.5" x14ac:dyDescent="0.2">
      <c r="A64" s="6" t="s">
        <v>212</v>
      </c>
      <c r="B64" s="2">
        <v>300</v>
      </c>
      <c r="C64" s="5">
        <f>C53</f>
        <v>3496883.736</v>
      </c>
      <c r="D64" s="5">
        <f>D61</f>
        <v>3187213.9959999998</v>
      </c>
      <c r="E64" s="5">
        <f>E61</f>
        <v>3187291.7760000001</v>
      </c>
      <c r="F64" s="5">
        <f>F65</f>
        <v>178341.07053599998</v>
      </c>
      <c r="G64" s="5">
        <f>G65</f>
        <v>162547.91379599998</v>
      </c>
      <c r="H64" s="5">
        <f>H65</f>
        <v>162551.880576</v>
      </c>
    </row>
    <row r="65" spans="1:8" x14ac:dyDescent="0.2">
      <c r="A65" s="6" t="s">
        <v>14</v>
      </c>
      <c r="B65" s="388">
        <v>310</v>
      </c>
      <c r="C65" s="403">
        <f>C53</f>
        <v>3496883.736</v>
      </c>
      <c r="D65" s="403">
        <f>D64</f>
        <v>3187213.9959999998</v>
      </c>
      <c r="E65" s="403">
        <f>E64</f>
        <v>3187291.7760000001</v>
      </c>
      <c r="F65" s="403">
        <f>C65*5.1%</f>
        <v>178341.07053599998</v>
      </c>
      <c r="G65" s="403">
        <f>D65*5.1%</f>
        <v>162547.91379599998</v>
      </c>
      <c r="H65" s="403">
        <f>E65*5.1%</f>
        <v>162551.880576</v>
      </c>
    </row>
    <row r="66" spans="1:8" ht="25.5" x14ac:dyDescent="0.2">
      <c r="A66" s="6" t="s">
        <v>213</v>
      </c>
      <c r="B66" s="388"/>
      <c r="C66" s="403"/>
      <c r="D66" s="403"/>
      <c r="E66" s="403"/>
      <c r="F66" s="403"/>
      <c r="G66" s="403"/>
      <c r="H66" s="403"/>
    </row>
    <row r="67" spans="1:8" ht="22.5" customHeight="1" x14ac:dyDescent="0.2">
      <c r="A67" s="6" t="s">
        <v>133</v>
      </c>
      <c r="B67" s="2">
        <v>9000</v>
      </c>
      <c r="C67" s="2" t="s">
        <v>11</v>
      </c>
      <c r="D67" s="2" t="s">
        <v>11</v>
      </c>
      <c r="E67" s="2" t="s">
        <v>11</v>
      </c>
      <c r="F67" s="236">
        <f>F52+F57+F64</f>
        <v>1056058.888272</v>
      </c>
      <c r="G67" s="236">
        <f>G52+G57+G64</f>
        <v>962538.62679199991</v>
      </c>
      <c r="H67" s="236">
        <f>H52+H57+H64-0.09+0.01</f>
        <v>962562.03635200008</v>
      </c>
    </row>
    <row r="69" spans="1:8" x14ac:dyDescent="0.2">
      <c r="C69" s="404" t="s">
        <v>300</v>
      </c>
      <c r="D69" s="404"/>
      <c r="E69" s="404"/>
    </row>
    <row r="70" spans="1:8" x14ac:dyDescent="0.2">
      <c r="A70" s="388" t="s">
        <v>200</v>
      </c>
      <c r="B70" s="388" t="s">
        <v>1</v>
      </c>
      <c r="C70" s="388" t="s">
        <v>201</v>
      </c>
      <c r="D70" s="388"/>
      <c r="E70" s="388"/>
      <c r="F70" s="388" t="s">
        <v>202</v>
      </c>
      <c r="G70" s="388"/>
      <c r="H70" s="388"/>
    </row>
    <row r="71" spans="1:8" x14ac:dyDescent="0.2">
      <c r="A71" s="388"/>
      <c r="B71" s="388"/>
      <c r="C71" s="16" t="s">
        <v>418</v>
      </c>
      <c r="D71" s="16" t="s">
        <v>548</v>
      </c>
      <c r="E71" s="16" t="s">
        <v>583</v>
      </c>
      <c r="F71" s="16" t="s">
        <v>418</v>
      </c>
      <c r="G71" s="16" t="s">
        <v>548</v>
      </c>
      <c r="H71" s="16" t="s">
        <v>583</v>
      </c>
    </row>
    <row r="72" spans="1:8" ht="38.25" x14ac:dyDescent="0.2">
      <c r="A72" s="388"/>
      <c r="B72" s="388"/>
      <c r="C72" s="2" t="s">
        <v>73</v>
      </c>
      <c r="D72" s="2" t="s">
        <v>74</v>
      </c>
      <c r="E72" s="2" t="s">
        <v>75</v>
      </c>
      <c r="F72" s="2" t="s">
        <v>73</v>
      </c>
      <c r="G72" s="2" t="s">
        <v>74</v>
      </c>
      <c r="H72" s="2" t="s">
        <v>75</v>
      </c>
    </row>
    <row r="73" spans="1:8" x14ac:dyDescent="0.2">
      <c r="A73" s="2">
        <v>1</v>
      </c>
      <c r="B73" s="2">
        <v>2</v>
      </c>
      <c r="C73" s="2">
        <v>3</v>
      </c>
      <c r="D73" s="2">
        <v>4</v>
      </c>
      <c r="E73" s="2">
        <v>5</v>
      </c>
      <c r="F73" s="2">
        <v>6</v>
      </c>
      <c r="G73" s="2">
        <v>7</v>
      </c>
      <c r="H73" s="2">
        <v>8</v>
      </c>
    </row>
    <row r="74" spans="1:8" ht="25.5" x14ac:dyDescent="0.2">
      <c r="A74" s="6" t="s">
        <v>203</v>
      </c>
      <c r="B74" s="2">
        <v>100</v>
      </c>
      <c r="C74" s="5"/>
      <c r="D74" s="5"/>
      <c r="E74" s="5"/>
      <c r="F74" s="5">
        <f>F75+F77+F78</f>
        <v>172067.90270999999</v>
      </c>
      <c r="G74" s="5">
        <f>G75</f>
        <v>161637.33608000004</v>
      </c>
      <c r="H74" s="5">
        <f>H75</f>
        <v>161637.33608000004</v>
      </c>
    </row>
    <row r="75" spans="1:8" x14ac:dyDescent="0.2">
      <c r="A75" s="6" t="s">
        <v>14</v>
      </c>
      <c r="B75" s="388">
        <v>110</v>
      </c>
      <c r="C75" s="403">
        <f>'3.6.3 (2)'!L65</f>
        <v>782126.83049999992</v>
      </c>
      <c r="D75" s="403">
        <f>'3.6.4 (2)'!L69</f>
        <v>734715.16400000011</v>
      </c>
      <c r="E75" s="403">
        <f>'3.6.5 (2)'!L63</f>
        <v>734715.16400000011</v>
      </c>
      <c r="F75" s="403">
        <f>C75/100*22</f>
        <v>172067.90270999999</v>
      </c>
      <c r="G75" s="403">
        <f>D75*22%</f>
        <v>161637.33608000004</v>
      </c>
      <c r="H75" s="403">
        <f>E75*22%</f>
        <v>161637.33608000004</v>
      </c>
    </row>
    <row r="76" spans="1:8" x14ac:dyDescent="0.2">
      <c r="A76" s="6" t="s">
        <v>204</v>
      </c>
      <c r="B76" s="388"/>
      <c r="C76" s="403"/>
      <c r="D76" s="403"/>
      <c r="E76" s="403"/>
      <c r="F76" s="403"/>
      <c r="G76" s="403"/>
      <c r="H76" s="403"/>
    </row>
    <row r="77" spans="1:8" x14ac:dyDescent="0.2">
      <c r="A77" s="6" t="s">
        <v>205</v>
      </c>
      <c r="B77" s="2">
        <v>120</v>
      </c>
      <c r="C77" s="5"/>
      <c r="D77" s="5"/>
      <c r="E77" s="5"/>
      <c r="F77" s="5"/>
      <c r="G77" s="5"/>
      <c r="H77" s="5"/>
    </row>
    <row r="78" spans="1:8" ht="38.25" x14ac:dyDescent="0.2">
      <c r="A78" s="6" t="s">
        <v>206</v>
      </c>
      <c r="B78" s="2">
        <v>130</v>
      </c>
      <c r="C78" s="5"/>
      <c r="D78" s="5"/>
      <c r="E78" s="5"/>
      <c r="F78" s="5"/>
      <c r="G78" s="5"/>
      <c r="H78" s="5"/>
    </row>
    <row r="79" spans="1:8" ht="25.5" x14ac:dyDescent="0.2">
      <c r="A79" s="6" t="s">
        <v>207</v>
      </c>
      <c r="B79" s="2">
        <v>200</v>
      </c>
      <c r="C79" s="5"/>
      <c r="D79" s="5"/>
      <c r="E79" s="5"/>
      <c r="F79" s="5">
        <f>F80+F83</f>
        <v>24245.931745499998</v>
      </c>
      <c r="G79" s="5">
        <f>G80+G83</f>
        <v>22776.170084000001</v>
      </c>
      <c r="H79" s="5">
        <f>H80+H83</f>
        <v>22776.170084000001</v>
      </c>
    </row>
    <row r="80" spans="1:8" x14ac:dyDescent="0.2">
      <c r="A80" s="6" t="s">
        <v>14</v>
      </c>
      <c r="B80" s="388">
        <v>210</v>
      </c>
      <c r="C80" s="403">
        <f>C75</f>
        <v>782126.83049999992</v>
      </c>
      <c r="D80" s="403">
        <f>D75</f>
        <v>734715.16400000011</v>
      </c>
      <c r="E80" s="403">
        <f>E75</f>
        <v>734715.16400000011</v>
      </c>
      <c r="F80" s="403">
        <f>C80/100*2.9</f>
        <v>22681.678084499999</v>
      </c>
      <c r="G80" s="403">
        <f>D80*2.9%</f>
        <v>21306.739756000003</v>
      </c>
      <c r="H80" s="403">
        <f>E80*2.9%</f>
        <v>21306.739756000003</v>
      </c>
    </row>
    <row r="81" spans="1:8" ht="38.25" x14ac:dyDescent="0.2">
      <c r="A81" s="6" t="s">
        <v>208</v>
      </c>
      <c r="B81" s="388"/>
      <c r="C81" s="403"/>
      <c r="D81" s="403"/>
      <c r="E81" s="403"/>
      <c r="F81" s="403"/>
      <c r="G81" s="403"/>
      <c r="H81" s="403"/>
    </row>
    <row r="82" spans="1:8" ht="25.5" x14ac:dyDescent="0.2">
      <c r="A82" s="6" t="s">
        <v>209</v>
      </c>
      <c r="B82" s="2">
        <v>220</v>
      </c>
      <c r="C82" s="5"/>
      <c r="D82" s="5"/>
      <c r="E82" s="5"/>
      <c r="F82" s="5"/>
      <c r="G82" s="5"/>
      <c r="H82" s="5"/>
    </row>
    <row r="83" spans="1:8" ht="38.25" x14ac:dyDescent="0.2">
      <c r="A83" s="6" t="s">
        <v>210</v>
      </c>
      <c r="B83" s="2">
        <v>230</v>
      </c>
      <c r="C83" s="5">
        <f>C75</f>
        <v>782126.83049999992</v>
      </c>
      <c r="D83" s="5">
        <f>D80</f>
        <v>734715.16400000011</v>
      </c>
      <c r="E83" s="5">
        <f>E75</f>
        <v>734715.16400000011</v>
      </c>
      <c r="F83" s="5">
        <f>C83/100*0.2</f>
        <v>1564.253661</v>
      </c>
      <c r="G83" s="5">
        <f>D83*0.2%</f>
        <v>1469.4303280000001</v>
      </c>
      <c r="H83" s="5">
        <f>E83*0.2%</f>
        <v>1469.4303280000001</v>
      </c>
    </row>
    <row r="84" spans="1:8" ht="38.25" x14ac:dyDescent="0.2">
      <c r="A84" s="4" t="s">
        <v>211</v>
      </c>
      <c r="B84" s="2">
        <v>240</v>
      </c>
      <c r="C84" s="5"/>
      <c r="D84" s="5"/>
      <c r="E84" s="5"/>
      <c r="F84" s="5"/>
      <c r="G84" s="5"/>
      <c r="H84" s="5"/>
    </row>
    <row r="85" spans="1:8" ht="38.25" x14ac:dyDescent="0.2">
      <c r="A85" s="4" t="s">
        <v>211</v>
      </c>
      <c r="B85" s="6"/>
      <c r="C85" s="5"/>
      <c r="D85" s="5"/>
      <c r="E85" s="5"/>
      <c r="F85" s="5"/>
      <c r="G85" s="5"/>
      <c r="H85" s="5"/>
    </row>
    <row r="86" spans="1:8" ht="25.5" x14ac:dyDescent="0.2">
      <c r="A86" s="6" t="s">
        <v>212</v>
      </c>
      <c r="B86" s="2">
        <v>300</v>
      </c>
      <c r="C86" s="5">
        <f>C75</f>
        <v>782126.83049999992</v>
      </c>
      <c r="D86" s="5">
        <f>D75</f>
        <v>734715.16400000011</v>
      </c>
      <c r="E86" s="5">
        <f>E75</f>
        <v>734715.16400000011</v>
      </c>
      <c r="F86" s="5">
        <f>F87</f>
        <v>39888.468355499994</v>
      </c>
      <c r="G86" s="5">
        <f>G87</f>
        <v>37470.47</v>
      </c>
      <c r="H86" s="5">
        <f>H87</f>
        <v>37470.47</v>
      </c>
    </row>
    <row r="87" spans="1:8" x14ac:dyDescent="0.2">
      <c r="A87" s="6" t="s">
        <v>14</v>
      </c>
      <c r="B87" s="388">
        <v>310</v>
      </c>
      <c r="C87" s="403">
        <f>C75</f>
        <v>782126.83049999992</v>
      </c>
      <c r="D87" s="403">
        <f>D75</f>
        <v>734715.16400000011</v>
      </c>
      <c r="E87" s="403">
        <f>E75</f>
        <v>734715.16400000011</v>
      </c>
      <c r="F87" s="403">
        <f>C87*5.1%</f>
        <v>39888.468355499994</v>
      </c>
      <c r="G87" s="403">
        <v>37470.47</v>
      </c>
      <c r="H87" s="403">
        <v>37470.47</v>
      </c>
    </row>
    <row r="88" spans="1:8" ht="25.5" x14ac:dyDescent="0.2">
      <c r="A88" s="6" t="s">
        <v>213</v>
      </c>
      <c r="B88" s="388"/>
      <c r="C88" s="403"/>
      <c r="D88" s="403"/>
      <c r="E88" s="403"/>
      <c r="F88" s="403"/>
      <c r="G88" s="403"/>
      <c r="H88" s="403"/>
    </row>
    <row r="89" spans="1:8" ht="21.75" customHeight="1" x14ac:dyDescent="0.2">
      <c r="A89" s="6" t="s">
        <v>133</v>
      </c>
      <c r="B89" s="2">
        <v>9000</v>
      </c>
      <c r="C89" s="2" t="s">
        <v>11</v>
      </c>
      <c r="D89" s="2" t="s">
        <v>11</v>
      </c>
      <c r="E89" s="2" t="s">
        <v>11</v>
      </c>
      <c r="F89" s="40">
        <f>F74+F79+F86</f>
        <v>236202.302811</v>
      </c>
      <c r="G89" s="236">
        <f>G74+G79+G86</f>
        <v>221883.97616400005</v>
      </c>
      <c r="H89" s="236">
        <f>H74+H79+H86+0.76</f>
        <v>221884.73616400006</v>
      </c>
    </row>
    <row r="91" spans="1:8" x14ac:dyDescent="0.2">
      <c r="C91" s="404" t="s">
        <v>432</v>
      </c>
      <c r="D91" s="404"/>
      <c r="E91" s="404"/>
    </row>
    <row r="92" spans="1:8" x14ac:dyDescent="0.2">
      <c r="A92" s="388" t="s">
        <v>200</v>
      </c>
      <c r="B92" s="388" t="s">
        <v>1</v>
      </c>
      <c r="C92" s="388" t="s">
        <v>201</v>
      </c>
      <c r="D92" s="388"/>
      <c r="E92" s="388"/>
      <c r="F92" s="388" t="s">
        <v>202</v>
      </c>
      <c r="G92" s="388"/>
      <c r="H92" s="388"/>
    </row>
    <row r="93" spans="1:8" x14ac:dyDescent="0.2">
      <c r="A93" s="388"/>
      <c r="B93" s="388"/>
      <c r="C93" s="16" t="s">
        <v>418</v>
      </c>
      <c r="D93" s="16" t="s">
        <v>548</v>
      </c>
      <c r="E93" s="16" t="s">
        <v>583</v>
      </c>
      <c r="F93" s="16" t="s">
        <v>418</v>
      </c>
      <c r="G93" s="16" t="s">
        <v>548</v>
      </c>
      <c r="H93" s="16" t="s">
        <v>583</v>
      </c>
    </row>
    <row r="94" spans="1:8" ht="38.25" x14ac:dyDescent="0.2">
      <c r="A94" s="388"/>
      <c r="B94" s="388"/>
      <c r="C94" s="2" t="s">
        <v>73</v>
      </c>
      <c r="D94" s="2" t="s">
        <v>74</v>
      </c>
      <c r="E94" s="2" t="s">
        <v>75</v>
      </c>
      <c r="F94" s="2" t="s">
        <v>73</v>
      </c>
      <c r="G94" s="2" t="s">
        <v>74</v>
      </c>
      <c r="H94" s="2" t="s">
        <v>75</v>
      </c>
    </row>
    <row r="95" spans="1:8" x14ac:dyDescent="0.2">
      <c r="A95" s="2">
        <v>1</v>
      </c>
      <c r="B95" s="2">
        <v>2</v>
      </c>
      <c r="C95" s="2">
        <v>3</v>
      </c>
      <c r="D95" s="2">
        <v>4</v>
      </c>
      <c r="E95" s="2">
        <v>5</v>
      </c>
      <c r="F95" s="2">
        <v>6</v>
      </c>
      <c r="G95" s="2">
        <v>7</v>
      </c>
      <c r="H95" s="2">
        <v>8</v>
      </c>
    </row>
    <row r="96" spans="1:8" ht="25.5" x14ac:dyDescent="0.2">
      <c r="A96" s="6" t="s">
        <v>203</v>
      </c>
      <c r="B96" s="2">
        <v>100</v>
      </c>
      <c r="C96" s="5"/>
      <c r="D96" s="5"/>
      <c r="E96" s="5"/>
      <c r="F96" s="5">
        <f>F97+F99+F100</f>
        <v>337125.49815999996</v>
      </c>
      <c r="G96" s="5">
        <f>G97</f>
        <v>337125.49815999996</v>
      </c>
      <c r="H96" s="5">
        <f>H97</f>
        <v>337125.30235999997</v>
      </c>
    </row>
    <row r="97" spans="1:8" x14ac:dyDescent="0.2">
      <c r="A97" s="6" t="s">
        <v>14</v>
      </c>
      <c r="B97" s="388">
        <v>110</v>
      </c>
      <c r="C97" s="403">
        <f>'3.6.3 (2)'!L86</f>
        <v>1532388.6279999998</v>
      </c>
      <c r="D97" s="403">
        <f>'3.6.4 (2)'!L87</f>
        <v>1532388.6279999998</v>
      </c>
      <c r="E97" s="403">
        <f>'3.6.5 (2)'!L79</f>
        <v>1532387.7379999999</v>
      </c>
      <c r="F97" s="403">
        <f>C97/100*22</f>
        <v>337125.49815999996</v>
      </c>
      <c r="G97" s="403">
        <f>D97*22%</f>
        <v>337125.49815999996</v>
      </c>
      <c r="H97" s="403">
        <f>E97*22%</f>
        <v>337125.30235999997</v>
      </c>
    </row>
    <row r="98" spans="1:8" x14ac:dyDescent="0.2">
      <c r="A98" s="6" t="s">
        <v>204</v>
      </c>
      <c r="B98" s="388"/>
      <c r="C98" s="403"/>
      <c r="D98" s="403"/>
      <c r="E98" s="403"/>
      <c r="F98" s="403"/>
      <c r="G98" s="403"/>
      <c r="H98" s="403"/>
    </row>
    <row r="99" spans="1:8" x14ac:dyDescent="0.2">
      <c r="A99" s="6" t="s">
        <v>205</v>
      </c>
      <c r="B99" s="2">
        <v>120</v>
      </c>
      <c r="C99" s="5"/>
      <c r="D99" s="5"/>
      <c r="E99" s="5"/>
      <c r="F99" s="5"/>
      <c r="G99" s="5"/>
      <c r="H99" s="5"/>
    </row>
    <row r="100" spans="1:8" ht="38.25" x14ac:dyDescent="0.2">
      <c r="A100" s="6" t="s">
        <v>206</v>
      </c>
      <c r="B100" s="2">
        <v>130</v>
      </c>
      <c r="C100" s="5"/>
      <c r="D100" s="5"/>
      <c r="E100" s="5"/>
      <c r="F100" s="5"/>
      <c r="G100" s="5"/>
      <c r="H100" s="5"/>
    </row>
    <row r="101" spans="1:8" ht="25.5" x14ac:dyDescent="0.2">
      <c r="A101" s="6" t="s">
        <v>207</v>
      </c>
      <c r="B101" s="2">
        <v>200</v>
      </c>
      <c r="C101" s="5"/>
      <c r="D101" s="5"/>
      <c r="E101" s="5"/>
      <c r="F101" s="5">
        <f>F102+F105</f>
        <v>47504.047467999997</v>
      </c>
      <c r="G101" s="5">
        <f>G102+G105</f>
        <v>47504.04746799999</v>
      </c>
      <c r="H101" s="5">
        <f>H102+H105</f>
        <v>47504.019877999999</v>
      </c>
    </row>
    <row r="102" spans="1:8" x14ac:dyDescent="0.2">
      <c r="A102" s="6" t="s">
        <v>14</v>
      </c>
      <c r="B102" s="388">
        <v>210</v>
      </c>
      <c r="C102" s="403">
        <f>C97</f>
        <v>1532388.6279999998</v>
      </c>
      <c r="D102" s="403">
        <f>D97</f>
        <v>1532388.6279999998</v>
      </c>
      <c r="E102" s="403">
        <f>E97</f>
        <v>1532387.7379999999</v>
      </c>
      <c r="F102" s="403">
        <f>C102/100*2.9</f>
        <v>44439.270211999996</v>
      </c>
      <c r="G102" s="403">
        <f>D102*2.9%</f>
        <v>44439.270211999989</v>
      </c>
      <c r="H102" s="403">
        <f>E102*2.9%</f>
        <v>44439.244401999997</v>
      </c>
    </row>
    <row r="103" spans="1:8" ht="38.25" x14ac:dyDescent="0.2">
      <c r="A103" s="6" t="s">
        <v>208</v>
      </c>
      <c r="B103" s="388"/>
      <c r="C103" s="403"/>
      <c r="D103" s="403"/>
      <c r="E103" s="403"/>
      <c r="F103" s="403"/>
      <c r="G103" s="403"/>
      <c r="H103" s="403"/>
    </row>
    <row r="104" spans="1:8" ht="25.5" x14ac:dyDescent="0.2">
      <c r="A104" s="6" t="s">
        <v>209</v>
      </c>
      <c r="B104" s="2">
        <v>220</v>
      </c>
      <c r="C104" s="5"/>
      <c r="D104" s="5"/>
      <c r="E104" s="5"/>
      <c r="F104" s="5"/>
      <c r="G104" s="5"/>
      <c r="H104" s="5"/>
    </row>
    <row r="105" spans="1:8" ht="38.25" x14ac:dyDescent="0.2">
      <c r="A105" s="6" t="s">
        <v>210</v>
      </c>
      <c r="B105" s="2">
        <v>230</v>
      </c>
      <c r="C105" s="5">
        <f>C97</f>
        <v>1532388.6279999998</v>
      </c>
      <c r="D105" s="5">
        <f>D97</f>
        <v>1532388.6279999998</v>
      </c>
      <c r="E105" s="5">
        <f>E97</f>
        <v>1532387.7379999999</v>
      </c>
      <c r="F105" s="5">
        <f>C105/100*0.2</f>
        <v>3064.7772559999999</v>
      </c>
      <c r="G105" s="5">
        <f>D105*0.2%</f>
        <v>3064.7772559999999</v>
      </c>
      <c r="H105" s="5">
        <f>E105*0.2%</f>
        <v>3064.7754759999998</v>
      </c>
    </row>
    <row r="106" spans="1:8" ht="38.25" x14ac:dyDescent="0.2">
      <c r="A106" s="4" t="s">
        <v>211</v>
      </c>
      <c r="B106" s="2">
        <v>240</v>
      </c>
      <c r="C106" s="5"/>
      <c r="D106" s="5"/>
      <c r="E106" s="5"/>
      <c r="F106" s="5"/>
      <c r="G106" s="5"/>
      <c r="H106" s="5"/>
    </row>
    <row r="107" spans="1:8" ht="38.25" x14ac:dyDescent="0.2">
      <c r="A107" s="4" t="s">
        <v>211</v>
      </c>
      <c r="B107" s="6"/>
      <c r="C107" s="5"/>
      <c r="D107" s="5"/>
      <c r="E107" s="5"/>
      <c r="F107" s="5"/>
      <c r="G107" s="5"/>
      <c r="H107" s="5"/>
    </row>
    <row r="108" spans="1:8" ht="25.5" x14ac:dyDescent="0.2">
      <c r="A108" s="6" t="s">
        <v>212</v>
      </c>
      <c r="B108" s="2">
        <v>300</v>
      </c>
      <c r="C108" s="5">
        <f>C97</f>
        <v>1532388.6279999998</v>
      </c>
      <c r="D108" s="5">
        <f>D97</f>
        <v>1532388.6279999998</v>
      </c>
      <c r="E108" s="5">
        <f>E97</f>
        <v>1532387.7379999999</v>
      </c>
      <c r="F108" s="5">
        <f>F109</f>
        <v>78151.820027999987</v>
      </c>
      <c r="G108" s="5">
        <f>G109</f>
        <v>78151.820027999987</v>
      </c>
      <c r="H108" s="5">
        <f>H109</f>
        <v>78151.820027999987</v>
      </c>
    </row>
    <row r="109" spans="1:8" x14ac:dyDescent="0.2">
      <c r="A109" s="6" t="s">
        <v>14</v>
      </c>
      <c r="B109" s="388">
        <v>310</v>
      </c>
      <c r="C109" s="403">
        <f>C97</f>
        <v>1532388.6279999998</v>
      </c>
      <c r="D109" s="403">
        <f>D97</f>
        <v>1532388.6279999998</v>
      </c>
      <c r="E109" s="403">
        <f>E97</f>
        <v>1532387.7379999999</v>
      </c>
      <c r="F109" s="403">
        <f>C109*5.1%</f>
        <v>78151.820027999987</v>
      </c>
      <c r="G109" s="403">
        <f>D109*5.1%</f>
        <v>78151.820027999987</v>
      </c>
      <c r="H109" s="403">
        <f>G109</f>
        <v>78151.820027999987</v>
      </c>
    </row>
    <row r="110" spans="1:8" ht="25.5" x14ac:dyDescent="0.2">
      <c r="A110" s="6" t="s">
        <v>213</v>
      </c>
      <c r="B110" s="388"/>
      <c r="C110" s="403"/>
      <c r="D110" s="403"/>
      <c r="E110" s="403"/>
      <c r="F110" s="403"/>
      <c r="G110" s="403"/>
      <c r="H110" s="403"/>
    </row>
    <row r="111" spans="1:8" ht="24" customHeight="1" x14ac:dyDescent="0.2">
      <c r="A111" s="6" t="s">
        <v>133</v>
      </c>
      <c r="B111" s="2">
        <v>9000</v>
      </c>
      <c r="C111" s="2" t="s">
        <v>11</v>
      </c>
      <c r="D111" s="2" t="s">
        <v>11</v>
      </c>
      <c r="E111" s="2" t="s">
        <v>11</v>
      </c>
      <c r="F111" s="40">
        <f>F96+F101+F108</f>
        <v>462781.36565599992</v>
      </c>
      <c r="G111" s="40">
        <f>G96+G101+G108+0.01</f>
        <v>462781.37565599993</v>
      </c>
      <c r="H111" s="40">
        <f>H96+H101+H108</f>
        <v>462781.14226599998</v>
      </c>
    </row>
    <row r="113" spans="1:8" x14ac:dyDescent="0.2">
      <c r="C113" s="404" t="s">
        <v>433</v>
      </c>
      <c r="D113" s="404"/>
      <c r="E113" s="404"/>
    </row>
    <row r="114" spans="1:8" x14ac:dyDescent="0.2">
      <c r="A114" s="388" t="s">
        <v>200</v>
      </c>
      <c r="B114" s="388" t="s">
        <v>1</v>
      </c>
      <c r="C114" s="388" t="s">
        <v>201</v>
      </c>
      <c r="D114" s="388"/>
      <c r="E114" s="388"/>
      <c r="F114" s="388" t="s">
        <v>202</v>
      </c>
      <c r="G114" s="388"/>
      <c r="H114" s="388"/>
    </row>
    <row r="115" spans="1:8" x14ac:dyDescent="0.2">
      <c r="A115" s="388"/>
      <c r="B115" s="388"/>
      <c r="C115" s="16" t="s">
        <v>418</v>
      </c>
      <c r="D115" s="16" t="s">
        <v>548</v>
      </c>
      <c r="E115" s="16" t="s">
        <v>583</v>
      </c>
      <c r="F115" s="16" t="s">
        <v>418</v>
      </c>
      <c r="G115" s="16" t="s">
        <v>548</v>
      </c>
      <c r="H115" s="16" t="s">
        <v>583</v>
      </c>
    </row>
    <row r="116" spans="1:8" ht="38.25" x14ac:dyDescent="0.2">
      <c r="A116" s="388"/>
      <c r="B116" s="388"/>
      <c r="C116" s="2" t="s">
        <v>73</v>
      </c>
      <c r="D116" s="2" t="s">
        <v>74</v>
      </c>
      <c r="E116" s="2" t="s">
        <v>75</v>
      </c>
      <c r="F116" s="2" t="s">
        <v>73</v>
      </c>
      <c r="G116" s="2" t="s">
        <v>74</v>
      </c>
      <c r="H116" s="2" t="s">
        <v>75</v>
      </c>
    </row>
    <row r="117" spans="1:8" x14ac:dyDescent="0.2">
      <c r="A117" s="2">
        <v>1</v>
      </c>
      <c r="B117" s="2">
        <v>2</v>
      </c>
      <c r="C117" s="2">
        <v>3</v>
      </c>
      <c r="D117" s="2">
        <v>4</v>
      </c>
      <c r="E117" s="2">
        <v>5</v>
      </c>
      <c r="F117" s="2">
        <v>6</v>
      </c>
      <c r="G117" s="2">
        <v>7</v>
      </c>
      <c r="H117" s="2">
        <v>8</v>
      </c>
    </row>
    <row r="118" spans="1:8" ht="25.5" x14ac:dyDescent="0.2">
      <c r="A118" s="6" t="s">
        <v>203</v>
      </c>
      <c r="B118" s="2">
        <v>100</v>
      </c>
      <c r="C118" s="5"/>
      <c r="D118" s="5"/>
      <c r="E118" s="5"/>
      <c r="F118" s="5">
        <f>F119+F121+F122</f>
        <v>279232.8</v>
      </c>
      <c r="G118" s="5">
        <f>G119</f>
        <v>279218.09519999998</v>
      </c>
      <c r="H118" s="5">
        <f>H119</f>
        <v>279218.09519999998</v>
      </c>
    </row>
    <row r="119" spans="1:8" x14ac:dyDescent="0.2">
      <c r="A119" s="6" t="s">
        <v>14</v>
      </c>
      <c r="B119" s="388">
        <v>110</v>
      </c>
      <c r="C119" s="403">
        <f>'3.6.3 (2)'!L99</f>
        <v>1269240</v>
      </c>
      <c r="D119" s="403">
        <f>'3.6.4 (2)'!L100</f>
        <v>1269173.1599999999</v>
      </c>
      <c r="E119" s="403">
        <f>'3.6.5 (2)'!L92</f>
        <v>1269173.1599999999</v>
      </c>
      <c r="F119" s="403">
        <f>C119/100*22</f>
        <v>279232.8</v>
      </c>
      <c r="G119" s="403">
        <f>D119*22%</f>
        <v>279218.09519999998</v>
      </c>
      <c r="H119" s="403">
        <f>E119*22%</f>
        <v>279218.09519999998</v>
      </c>
    </row>
    <row r="120" spans="1:8" x14ac:dyDescent="0.2">
      <c r="A120" s="6" t="s">
        <v>204</v>
      </c>
      <c r="B120" s="388"/>
      <c r="C120" s="403"/>
      <c r="D120" s="403"/>
      <c r="E120" s="403"/>
      <c r="F120" s="403"/>
      <c r="G120" s="403"/>
      <c r="H120" s="403"/>
    </row>
    <row r="121" spans="1:8" x14ac:dyDescent="0.2">
      <c r="A121" s="6" t="s">
        <v>205</v>
      </c>
      <c r="B121" s="2">
        <v>120</v>
      </c>
      <c r="C121" s="5"/>
      <c r="D121" s="5"/>
      <c r="E121" s="5"/>
      <c r="F121" s="5"/>
      <c r="G121" s="5"/>
      <c r="H121" s="5"/>
    </row>
    <row r="122" spans="1:8" ht="38.25" x14ac:dyDescent="0.2">
      <c r="A122" s="6" t="s">
        <v>206</v>
      </c>
      <c r="B122" s="2">
        <v>130</v>
      </c>
      <c r="C122" s="5"/>
      <c r="D122" s="5"/>
      <c r="E122" s="5"/>
      <c r="F122" s="5"/>
      <c r="G122" s="5"/>
      <c r="H122" s="5"/>
    </row>
    <row r="123" spans="1:8" ht="25.5" x14ac:dyDescent="0.2">
      <c r="A123" s="6" t="s">
        <v>207</v>
      </c>
      <c r="B123" s="2">
        <v>200</v>
      </c>
      <c r="C123" s="5"/>
      <c r="D123" s="5"/>
      <c r="E123" s="5"/>
      <c r="F123" s="5">
        <f>F124+F127</f>
        <v>39346.44</v>
      </c>
      <c r="G123" s="5">
        <f>G124+G127</f>
        <v>39344.367959999989</v>
      </c>
      <c r="H123" s="5">
        <f>H124+H127</f>
        <v>39344.367959999989</v>
      </c>
    </row>
    <row r="124" spans="1:8" x14ac:dyDescent="0.2">
      <c r="A124" s="6" t="s">
        <v>14</v>
      </c>
      <c r="B124" s="388">
        <v>210</v>
      </c>
      <c r="C124" s="403">
        <f>C119</f>
        <v>1269240</v>
      </c>
      <c r="D124" s="403">
        <f>D119</f>
        <v>1269173.1599999999</v>
      </c>
      <c r="E124" s="403">
        <f>E119</f>
        <v>1269173.1599999999</v>
      </c>
      <c r="F124" s="403">
        <f>C124/100*2.9</f>
        <v>36807.96</v>
      </c>
      <c r="G124" s="403">
        <f>D124*2.9%</f>
        <v>36806.021639999992</v>
      </c>
      <c r="H124" s="403">
        <f>E124*2.9%</f>
        <v>36806.021639999992</v>
      </c>
    </row>
    <row r="125" spans="1:8" ht="38.25" x14ac:dyDescent="0.2">
      <c r="A125" s="6" t="s">
        <v>208</v>
      </c>
      <c r="B125" s="388"/>
      <c r="C125" s="403"/>
      <c r="D125" s="403"/>
      <c r="E125" s="403"/>
      <c r="F125" s="403"/>
      <c r="G125" s="403"/>
      <c r="H125" s="403"/>
    </row>
    <row r="126" spans="1:8" ht="25.5" x14ac:dyDescent="0.2">
      <c r="A126" s="6" t="s">
        <v>209</v>
      </c>
      <c r="B126" s="2">
        <v>220</v>
      </c>
      <c r="C126" s="5"/>
      <c r="D126" s="5"/>
      <c r="E126" s="5"/>
      <c r="F126" s="5"/>
      <c r="G126" s="5"/>
      <c r="H126" s="5"/>
    </row>
    <row r="127" spans="1:8" ht="38.25" x14ac:dyDescent="0.2">
      <c r="A127" s="6" t="s">
        <v>210</v>
      </c>
      <c r="B127" s="2">
        <v>230</v>
      </c>
      <c r="C127" s="5">
        <f>C119</f>
        <v>1269240</v>
      </c>
      <c r="D127" s="5">
        <f>D124</f>
        <v>1269173.1599999999</v>
      </c>
      <c r="E127" s="5">
        <f>E124</f>
        <v>1269173.1599999999</v>
      </c>
      <c r="F127" s="5">
        <f>C127/100*0.2</f>
        <v>2538.48</v>
      </c>
      <c r="G127" s="5">
        <f>D127*0.2%</f>
        <v>2538.3463200000001</v>
      </c>
      <c r="H127" s="5">
        <f>E127*0.2%</f>
        <v>2538.3463200000001</v>
      </c>
    </row>
    <row r="128" spans="1:8" ht="38.25" x14ac:dyDescent="0.2">
      <c r="A128" s="4" t="s">
        <v>211</v>
      </c>
      <c r="B128" s="2">
        <v>240</v>
      </c>
      <c r="C128" s="5"/>
      <c r="D128" s="5"/>
      <c r="E128" s="5"/>
      <c r="F128" s="5"/>
      <c r="G128" s="5"/>
      <c r="H128" s="5"/>
    </row>
    <row r="129" spans="1:8" ht="38.25" x14ac:dyDescent="0.2">
      <c r="A129" s="4" t="s">
        <v>211</v>
      </c>
      <c r="B129" s="6"/>
      <c r="C129" s="5"/>
      <c r="D129" s="5"/>
      <c r="E129" s="5"/>
      <c r="F129" s="5"/>
      <c r="G129" s="5"/>
      <c r="H129" s="5"/>
    </row>
    <row r="130" spans="1:8" ht="25.5" x14ac:dyDescent="0.2">
      <c r="A130" s="6" t="s">
        <v>212</v>
      </c>
      <c r="B130" s="2">
        <v>300</v>
      </c>
      <c r="C130" s="5">
        <f>C119</f>
        <v>1269240</v>
      </c>
      <c r="D130" s="5">
        <f>D127</f>
        <v>1269173.1599999999</v>
      </c>
      <c r="E130" s="5">
        <f>E127</f>
        <v>1269173.1599999999</v>
      </c>
      <c r="F130" s="5">
        <f>F131</f>
        <v>64731.24</v>
      </c>
      <c r="G130" s="5">
        <f>G131</f>
        <v>64727.831159999994</v>
      </c>
      <c r="H130" s="5">
        <f>H131</f>
        <v>64727.831159999994</v>
      </c>
    </row>
    <row r="131" spans="1:8" x14ac:dyDescent="0.2">
      <c r="A131" s="6" t="s">
        <v>14</v>
      </c>
      <c r="B131" s="388">
        <v>310</v>
      </c>
      <c r="C131" s="403">
        <f>C119</f>
        <v>1269240</v>
      </c>
      <c r="D131" s="403">
        <f>D130</f>
        <v>1269173.1599999999</v>
      </c>
      <c r="E131" s="403">
        <f>E130</f>
        <v>1269173.1599999999</v>
      </c>
      <c r="F131" s="403">
        <f>C131*5.1%</f>
        <v>64731.24</v>
      </c>
      <c r="G131" s="403">
        <f>D131*5.1%</f>
        <v>64727.831159999994</v>
      </c>
      <c r="H131" s="403">
        <f>G131</f>
        <v>64727.831159999994</v>
      </c>
    </row>
    <row r="132" spans="1:8" ht="25.5" x14ac:dyDescent="0.2">
      <c r="A132" s="6" t="s">
        <v>213</v>
      </c>
      <c r="B132" s="388"/>
      <c r="C132" s="403"/>
      <c r="D132" s="403"/>
      <c r="E132" s="403"/>
      <c r="F132" s="403"/>
      <c r="G132" s="403"/>
      <c r="H132" s="403"/>
    </row>
    <row r="133" spans="1:8" ht="27.75" customHeight="1" x14ac:dyDescent="0.2">
      <c r="A133" s="6" t="s">
        <v>133</v>
      </c>
      <c r="B133" s="2">
        <v>9000</v>
      </c>
      <c r="C133" s="2" t="s">
        <v>11</v>
      </c>
      <c r="D133" s="2" t="s">
        <v>11</v>
      </c>
      <c r="E133" s="2" t="s">
        <v>11</v>
      </c>
      <c r="F133" s="40">
        <f>F118+F123+F130</f>
        <v>383310.48</v>
      </c>
      <c r="G133" s="40">
        <f>G118+G123+G130</f>
        <v>383290.29431999999</v>
      </c>
      <c r="H133" s="40">
        <f>H118+H123+H130</f>
        <v>383290.29431999999</v>
      </c>
    </row>
    <row r="135" spans="1:8" x14ac:dyDescent="0.2">
      <c r="C135" s="404" t="s">
        <v>343</v>
      </c>
      <c r="D135" s="404"/>
      <c r="E135" s="404"/>
    </row>
    <row r="136" spans="1:8" x14ac:dyDescent="0.2">
      <c r="A136" s="388" t="s">
        <v>200</v>
      </c>
      <c r="B136" s="388" t="s">
        <v>1</v>
      </c>
      <c r="C136" s="388" t="s">
        <v>201</v>
      </c>
      <c r="D136" s="388"/>
      <c r="E136" s="388"/>
      <c r="F136" s="388" t="s">
        <v>202</v>
      </c>
      <c r="G136" s="388"/>
      <c r="H136" s="388"/>
    </row>
    <row r="137" spans="1:8" x14ac:dyDescent="0.2">
      <c r="A137" s="388"/>
      <c r="B137" s="388"/>
      <c r="C137" s="16" t="s">
        <v>418</v>
      </c>
      <c r="D137" s="16" t="s">
        <v>548</v>
      </c>
      <c r="E137" s="16" t="s">
        <v>583</v>
      </c>
      <c r="F137" s="16" t="s">
        <v>418</v>
      </c>
      <c r="G137" s="16" t="s">
        <v>548</v>
      </c>
      <c r="H137" s="16" t="s">
        <v>583</v>
      </c>
    </row>
    <row r="138" spans="1:8" ht="38.25" x14ac:dyDescent="0.2">
      <c r="A138" s="388"/>
      <c r="B138" s="388"/>
      <c r="C138" s="2" t="s">
        <v>73</v>
      </c>
      <c r="D138" s="2" t="s">
        <v>74</v>
      </c>
      <c r="E138" s="2" t="s">
        <v>75</v>
      </c>
      <c r="F138" s="2" t="s">
        <v>73</v>
      </c>
      <c r="G138" s="2" t="s">
        <v>74</v>
      </c>
      <c r="H138" s="2" t="s">
        <v>75</v>
      </c>
    </row>
    <row r="139" spans="1:8" x14ac:dyDescent="0.2">
      <c r="A139" s="2">
        <v>1</v>
      </c>
      <c r="B139" s="2">
        <v>2</v>
      </c>
      <c r="C139" s="2">
        <v>3</v>
      </c>
      <c r="D139" s="2">
        <v>4</v>
      </c>
      <c r="E139" s="2">
        <v>5</v>
      </c>
      <c r="F139" s="2">
        <v>6</v>
      </c>
      <c r="G139" s="2">
        <v>7</v>
      </c>
      <c r="H139" s="2">
        <v>8</v>
      </c>
    </row>
    <row r="140" spans="1:8" ht="25.5" x14ac:dyDescent="0.2">
      <c r="A140" s="6" t="s">
        <v>203</v>
      </c>
      <c r="B140" s="2">
        <v>100</v>
      </c>
      <c r="C140" s="5"/>
      <c r="D140" s="5"/>
      <c r="E140" s="5"/>
      <c r="F140" s="5">
        <f>F141+F143+F144</f>
        <v>183096.64119999995</v>
      </c>
      <c r="G140" s="5">
        <f>G141</f>
        <v>183096.64119999995</v>
      </c>
      <c r="H140" s="5">
        <f>H141</f>
        <v>183096.64119999995</v>
      </c>
    </row>
    <row r="141" spans="1:8" x14ac:dyDescent="0.2">
      <c r="A141" s="6" t="s">
        <v>14</v>
      </c>
      <c r="B141" s="388">
        <v>110</v>
      </c>
      <c r="C141" s="403">
        <f>'3.6.3 (2)'!D117</f>
        <v>832257.45999999985</v>
      </c>
      <c r="D141" s="403">
        <f>'3.6.4 (2)'!D117</f>
        <v>832257.45999999985</v>
      </c>
      <c r="E141" s="403">
        <f>'3.6.5 (2)'!D112</f>
        <v>832257.45999999985</v>
      </c>
      <c r="F141" s="403">
        <f>C141/100*22</f>
        <v>183096.64119999995</v>
      </c>
      <c r="G141" s="403">
        <f>D141*22%</f>
        <v>183096.64119999995</v>
      </c>
      <c r="H141" s="403">
        <f>E141*22%</f>
        <v>183096.64119999995</v>
      </c>
    </row>
    <row r="142" spans="1:8" x14ac:dyDescent="0.2">
      <c r="A142" s="6" t="s">
        <v>204</v>
      </c>
      <c r="B142" s="388"/>
      <c r="C142" s="403"/>
      <c r="D142" s="403"/>
      <c r="E142" s="403"/>
      <c r="F142" s="403"/>
      <c r="G142" s="403"/>
      <c r="H142" s="403"/>
    </row>
    <row r="143" spans="1:8" x14ac:dyDescent="0.2">
      <c r="A143" s="6" t="s">
        <v>205</v>
      </c>
      <c r="B143" s="2">
        <v>120</v>
      </c>
      <c r="C143" s="5"/>
      <c r="D143" s="5"/>
      <c r="E143" s="5"/>
      <c r="F143" s="5"/>
      <c r="G143" s="5"/>
      <c r="H143" s="5"/>
    </row>
    <row r="144" spans="1:8" ht="38.25" x14ac:dyDescent="0.2">
      <c r="A144" s="6" t="s">
        <v>206</v>
      </c>
      <c r="B144" s="2">
        <v>130</v>
      </c>
      <c r="C144" s="5"/>
      <c r="D144" s="5"/>
      <c r="E144" s="5"/>
      <c r="F144" s="5"/>
      <c r="G144" s="5"/>
      <c r="H144" s="5"/>
    </row>
    <row r="145" spans="1:8" ht="25.5" x14ac:dyDescent="0.2">
      <c r="A145" s="6" t="s">
        <v>207</v>
      </c>
      <c r="B145" s="2">
        <v>200</v>
      </c>
      <c r="C145" s="5"/>
      <c r="D145" s="5"/>
      <c r="E145" s="5"/>
      <c r="F145" s="5">
        <f>F146+F149</f>
        <v>25799.981259999993</v>
      </c>
      <c r="G145" s="5">
        <f>G146+G149</f>
        <v>25799.981259999993</v>
      </c>
      <c r="H145" s="5">
        <f>H146+H149</f>
        <v>25799.981259999993</v>
      </c>
    </row>
    <row r="146" spans="1:8" x14ac:dyDescent="0.2">
      <c r="A146" s="6" t="s">
        <v>14</v>
      </c>
      <c r="B146" s="388">
        <v>210</v>
      </c>
      <c r="C146" s="403">
        <f>C141</f>
        <v>832257.45999999985</v>
      </c>
      <c r="D146" s="403">
        <f>D141</f>
        <v>832257.45999999985</v>
      </c>
      <c r="E146" s="403">
        <f>E141</f>
        <v>832257.45999999985</v>
      </c>
      <c r="F146" s="403">
        <f>C146/100*2.9</f>
        <v>24135.466339999995</v>
      </c>
      <c r="G146" s="403">
        <f>D146*2.9%</f>
        <v>24135.466339999995</v>
      </c>
      <c r="H146" s="403">
        <f>E146*2.9%</f>
        <v>24135.466339999995</v>
      </c>
    </row>
    <row r="147" spans="1:8" ht="38.25" x14ac:dyDescent="0.2">
      <c r="A147" s="6" t="s">
        <v>208</v>
      </c>
      <c r="B147" s="388"/>
      <c r="C147" s="403"/>
      <c r="D147" s="403"/>
      <c r="E147" s="403"/>
      <c r="F147" s="403"/>
      <c r="G147" s="403"/>
      <c r="H147" s="403"/>
    </row>
    <row r="148" spans="1:8" ht="25.5" x14ac:dyDescent="0.2">
      <c r="A148" s="6" t="s">
        <v>209</v>
      </c>
      <c r="B148" s="2">
        <v>220</v>
      </c>
      <c r="C148" s="5"/>
      <c r="D148" s="5"/>
      <c r="E148" s="5"/>
      <c r="F148" s="5"/>
      <c r="G148" s="5"/>
      <c r="H148" s="5"/>
    </row>
    <row r="149" spans="1:8" ht="38.25" x14ac:dyDescent="0.2">
      <c r="A149" s="6" t="s">
        <v>210</v>
      </c>
      <c r="B149" s="2">
        <v>230</v>
      </c>
      <c r="C149" s="5">
        <f>C141</f>
        <v>832257.45999999985</v>
      </c>
      <c r="D149" s="5">
        <f>D146</f>
        <v>832257.45999999985</v>
      </c>
      <c r="E149" s="5">
        <f>E146</f>
        <v>832257.45999999985</v>
      </c>
      <c r="F149" s="5">
        <f>C149/100*0.2</f>
        <v>1664.5149199999996</v>
      </c>
      <c r="G149" s="5">
        <f>D149*0.2%</f>
        <v>1664.5149199999996</v>
      </c>
      <c r="H149" s="5">
        <f>E149*0.2%</f>
        <v>1664.5149199999996</v>
      </c>
    </row>
    <row r="150" spans="1:8" ht="38.25" x14ac:dyDescent="0.2">
      <c r="A150" s="4" t="s">
        <v>211</v>
      </c>
      <c r="B150" s="2">
        <v>240</v>
      </c>
      <c r="C150" s="5"/>
      <c r="D150" s="5"/>
      <c r="E150" s="5"/>
      <c r="F150" s="5"/>
      <c r="G150" s="5"/>
      <c r="H150" s="5"/>
    </row>
    <row r="151" spans="1:8" ht="38.25" x14ac:dyDescent="0.2">
      <c r="A151" s="4" t="s">
        <v>211</v>
      </c>
      <c r="B151" s="6"/>
      <c r="C151" s="5"/>
      <c r="D151" s="5"/>
      <c r="E151" s="5"/>
      <c r="F151" s="5"/>
      <c r="G151" s="5"/>
      <c r="H151" s="5"/>
    </row>
    <row r="152" spans="1:8" ht="25.5" x14ac:dyDescent="0.2">
      <c r="A152" s="6" t="s">
        <v>212</v>
      </c>
      <c r="B152" s="2">
        <v>300</v>
      </c>
      <c r="C152" s="5">
        <f>C141</f>
        <v>832257.45999999985</v>
      </c>
      <c r="D152" s="5">
        <f>D149</f>
        <v>832257.45999999985</v>
      </c>
      <c r="E152" s="5">
        <f>E141</f>
        <v>832257.45999999985</v>
      </c>
      <c r="F152" s="5">
        <f>F153</f>
        <v>42445.130459999993</v>
      </c>
      <c r="G152" s="5">
        <f>G153</f>
        <v>42445.130459999993</v>
      </c>
      <c r="H152" s="5">
        <f>H153</f>
        <v>42445.130459999993</v>
      </c>
    </row>
    <row r="153" spans="1:8" x14ac:dyDescent="0.2">
      <c r="A153" s="6" t="s">
        <v>14</v>
      </c>
      <c r="B153" s="388">
        <v>310</v>
      </c>
      <c r="C153" s="403">
        <f>C141</f>
        <v>832257.45999999985</v>
      </c>
      <c r="D153" s="403">
        <f>D141</f>
        <v>832257.45999999985</v>
      </c>
      <c r="E153" s="403">
        <f>E141</f>
        <v>832257.45999999985</v>
      </c>
      <c r="F153" s="403">
        <f>C153*5.1%</f>
        <v>42445.130459999993</v>
      </c>
      <c r="G153" s="403">
        <f>D153*5.1%</f>
        <v>42445.130459999993</v>
      </c>
      <c r="H153" s="403">
        <f>E153*5.1%</f>
        <v>42445.130459999993</v>
      </c>
    </row>
    <row r="154" spans="1:8" ht="25.5" x14ac:dyDescent="0.2">
      <c r="A154" s="6" t="s">
        <v>213</v>
      </c>
      <c r="B154" s="388"/>
      <c r="C154" s="403"/>
      <c r="D154" s="403"/>
      <c r="E154" s="403"/>
      <c r="F154" s="403"/>
      <c r="G154" s="403"/>
      <c r="H154" s="403"/>
    </row>
    <row r="155" spans="1:8" ht="23.25" customHeight="1" x14ac:dyDescent="0.2">
      <c r="A155" s="6" t="s">
        <v>133</v>
      </c>
      <c r="B155" s="2">
        <v>9000</v>
      </c>
      <c r="C155" s="2" t="s">
        <v>11</v>
      </c>
      <c r="D155" s="2" t="s">
        <v>11</v>
      </c>
      <c r="E155" s="2" t="s">
        <v>11</v>
      </c>
      <c r="F155" s="163">
        <f>F140+F145+F152</f>
        <v>251341.75291999994</v>
      </c>
      <c r="G155" s="163">
        <f>G140+G145+G152</f>
        <v>251341.75291999994</v>
      </c>
      <c r="H155" s="163">
        <f>H140+H145+H152</f>
        <v>251341.75291999994</v>
      </c>
    </row>
    <row r="157" spans="1:8" x14ac:dyDescent="0.2">
      <c r="C157" s="404" t="s">
        <v>490</v>
      </c>
      <c r="D157" s="404"/>
      <c r="E157" s="404"/>
    </row>
    <row r="158" spans="1:8" ht="27" customHeight="1" x14ac:dyDescent="0.2">
      <c r="A158" s="388" t="s">
        <v>200</v>
      </c>
      <c r="B158" s="388" t="s">
        <v>1</v>
      </c>
      <c r="C158" s="388" t="s">
        <v>201</v>
      </c>
      <c r="D158" s="388"/>
      <c r="E158" s="388"/>
      <c r="F158" s="388" t="s">
        <v>202</v>
      </c>
      <c r="G158" s="388"/>
      <c r="H158" s="388"/>
    </row>
    <row r="159" spans="1:8" ht="18.75" customHeight="1" x14ac:dyDescent="0.2">
      <c r="A159" s="388"/>
      <c r="B159" s="388"/>
      <c r="C159" s="16" t="s">
        <v>418</v>
      </c>
      <c r="D159" s="16" t="s">
        <v>548</v>
      </c>
      <c r="E159" s="16" t="s">
        <v>583</v>
      </c>
      <c r="F159" s="16" t="s">
        <v>418</v>
      </c>
      <c r="G159" s="16" t="s">
        <v>548</v>
      </c>
      <c r="H159" s="16" t="s">
        <v>583</v>
      </c>
    </row>
    <row r="160" spans="1:8" ht="43.5" customHeight="1" x14ac:dyDescent="0.2">
      <c r="A160" s="388"/>
      <c r="B160" s="388"/>
      <c r="C160" s="2" t="s">
        <v>73</v>
      </c>
      <c r="D160" s="2" t="s">
        <v>74</v>
      </c>
      <c r="E160" s="2" t="s">
        <v>75</v>
      </c>
      <c r="F160" s="2" t="s">
        <v>73</v>
      </c>
      <c r="G160" s="2" t="s">
        <v>74</v>
      </c>
      <c r="H160" s="2" t="s">
        <v>75</v>
      </c>
    </row>
    <row r="161" spans="1:11" ht="15.75" customHeight="1" x14ac:dyDescent="0.2">
      <c r="A161" s="2">
        <v>1</v>
      </c>
      <c r="B161" s="2">
        <v>2</v>
      </c>
      <c r="C161" s="2">
        <v>3</v>
      </c>
      <c r="D161" s="2">
        <v>4</v>
      </c>
      <c r="E161" s="2">
        <v>5</v>
      </c>
      <c r="F161" s="2">
        <v>6</v>
      </c>
      <c r="G161" s="2">
        <v>7</v>
      </c>
      <c r="H161" s="2">
        <v>8</v>
      </c>
    </row>
    <row r="162" spans="1:11" ht="25.5" x14ac:dyDescent="0.2">
      <c r="A162" s="6" t="s">
        <v>203</v>
      </c>
      <c r="B162" s="2">
        <v>100</v>
      </c>
      <c r="C162" s="5"/>
      <c r="D162" s="5"/>
      <c r="E162" s="5"/>
      <c r="F162" s="5">
        <f>F163+F165+F166</f>
        <v>1139.5384000000001</v>
      </c>
      <c r="G162" s="5">
        <f>G163</f>
        <v>1139.5384000000001</v>
      </c>
      <c r="H162" s="5">
        <f>H163</f>
        <v>1139.5384000000001</v>
      </c>
    </row>
    <row r="163" spans="1:11" x14ac:dyDescent="0.2">
      <c r="A163" s="6" t="s">
        <v>14</v>
      </c>
      <c r="B163" s="388">
        <v>110</v>
      </c>
      <c r="C163" s="403">
        <f>'3.6.3 (2)'!K104</f>
        <v>5179.72</v>
      </c>
      <c r="D163" s="403">
        <f>'3.6.4 (2)'!K103</f>
        <v>5179.72</v>
      </c>
      <c r="E163" s="403">
        <f>'3.6.5 (2)'!K101</f>
        <v>5179.72</v>
      </c>
      <c r="F163" s="403">
        <f>C163/100*22</f>
        <v>1139.5384000000001</v>
      </c>
      <c r="G163" s="403">
        <f>D163*22%</f>
        <v>1139.5384000000001</v>
      </c>
      <c r="H163" s="403">
        <f>E163*22%</f>
        <v>1139.5384000000001</v>
      </c>
    </row>
    <row r="164" spans="1:11" x14ac:dyDescent="0.2">
      <c r="A164" s="6" t="s">
        <v>204</v>
      </c>
      <c r="B164" s="388"/>
      <c r="C164" s="403"/>
      <c r="D164" s="403"/>
      <c r="E164" s="403"/>
      <c r="F164" s="403"/>
      <c r="G164" s="403"/>
      <c r="H164" s="403"/>
    </row>
    <row r="165" spans="1:11" x14ac:dyDescent="0.2">
      <c r="A165" s="6" t="s">
        <v>205</v>
      </c>
      <c r="B165" s="2">
        <v>120</v>
      </c>
      <c r="C165" s="5"/>
      <c r="D165" s="5"/>
      <c r="E165" s="5"/>
      <c r="F165" s="5"/>
      <c r="G165" s="5"/>
      <c r="H165" s="5"/>
    </row>
    <row r="166" spans="1:11" ht="38.25" x14ac:dyDescent="0.2">
      <c r="A166" s="6" t="s">
        <v>206</v>
      </c>
      <c r="B166" s="2">
        <v>130</v>
      </c>
      <c r="C166" s="5"/>
      <c r="D166" s="5"/>
      <c r="E166" s="5"/>
      <c r="F166" s="5"/>
      <c r="G166" s="5"/>
      <c r="H166" s="5"/>
    </row>
    <row r="167" spans="1:11" ht="25.5" x14ac:dyDescent="0.2">
      <c r="A167" s="6" t="s">
        <v>207</v>
      </c>
      <c r="B167" s="2">
        <v>200</v>
      </c>
      <c r="C167" s="5"/>
      <c r="D167" s="5"/>
      <c r="E167" s="5"/>
      <c r="F167" s="5">
        <f>F168+F171</f>
        <v>160.57132000000001</v>
      </c>
      <c r="G167" s="5">
        <f>G168+G171</f>
        <v>160.57132000000001</v>
      </c>
      <c r="H167" s="5">
        <f>H168+H171</f>
        <v>160.57132000000001</v>
      </c>
    </row>
    <row r="168" spans="1:11" x14ac:dyDescent="0.2">
      <c r="A168" s="6" t="s">
        <v>14</v>
      </c>
      <c r="B168" s="388">
        <v>210</v>
      </c>
      <c r="C168" s="403">
        <f>C163</f>
        <v>5179.72</v>
      </c>
      <c r="D168" s="403">
        <f>D163</f>
        <v>5179.72</v>
      </c>
      <c r="E168" s="403">
        <f>E163</f>
        <v>5179.72</v>
      </c>
      <c r="F168" s="403">
        <f>C168/100*2.9</f>
        <v>150.21188000000001</v>
      </c>
      <c r="G168" s="403">
        <f>D168*2.9%</f>
        <v>150.21188000000001</v>
      </c>
      <c r="H168" s="403">
        <f>E168*2.9%</f>
        <v>150.21188000000001</v>
      </c>
    </row>
    <row r="169" spans="1:11" ht="38.25" x14ac:dyDescent="0.2">
      <c r="A169" s="6" t="s">
        <v>208</v>
      </c>
      <c r="B169" s="388"/>
      <c r="C169" s="403"/>
      <c r="D169" s="403"/>
      <c r="E169" s="403"/>
      <c r="F169" s="403"/>
      <c r="G169" s="403"/>
      <c r="H169" s="403"/>
    </row>
    <row r="170" spans="1:11" ht="25.5" x14ac:dyDescent="0.2">
      <c r="A170" s="6" t="s">
        <v>209</v>
      </c>
      <c r="B170" s="2">
        <v>220</v>
      </c>
      <c r="C170" s="5"/>
      <c r="D170" s="5"/>
      <c r="E170" s="5"/>
      <c r="F170" s="5"/>
      <c r="G170" s="5"/>
      <c r="H170" s="5"/>
    </row>
    <row r="171" spans="1:11" ht="38.25" x14ac:dyDescent="0.2">
      <c r="A171" s="6" t="s">
        <v>210</v>
      </c>
      <c r="B171" s="2">
        <v>230</v>
      </c>
      <c r="C171" s="5">
        <f>C163</f>
        <v>5179.72</v>
      </c>
      <c r="D171" s="5">
        <f>D168</f>
        <v>5179.72</v>
      </c>
      <c r="E171" s="5">
        <f>E168</f>
        <v>5179.72</v>
      </c>
      <c r="F171" s="5">
        <f>C171/100*0.2</f>
        <v>10.359440000000001</v>
      </c>
      <c r="G171" s="5">
        <f>D171*0.2%</f>
        <v>10.359440000000001</v>
      </c>
      <c r="H171" s="5">
        <f>E171*0.2%</f>
        <v>10.359440000000001</v>
      </c>
    </row>
    <row r="172" spans="1:11" ht="38.25" x14ac:dyDescent="0.2">
      <c r="A172" s="4" t="s">
        <v>211</v>
      </c>
      <c r="B172" s="2">
        <v>240</v>
      </c>
      <c r="C172" s="5"/>
      <c r="D172" s="5"/>
      <c r="E172" s="5"/>
      <c r="F172" s="5"/>
      <c r="G172" s="5"/>
      <c r="H172" s="5"/>
    </row>
    <row r="173" spans="1:11" ht="38.25" x14ac:dyDescent="0.2">
      <c r="A173" s="4" t="s">
        <v>211</v>
      </c>
      <c r="B173" s="6"/>
      <c r="C173" s="5"/>
      <c r="D173" s="5"/>
      <c r="E173" s="5"/>
      <c r="F173" s="5"/>
      <c r="G173" s="5"/>
      <c r="H173" s="5"/>
    </row>
    <row r="174" spans="1:11" ht="25.5" x14ac:dyDescent="0.2">
      <c r="A174" s="6" t="s">
        <v>212</v>
      </c>
      <c r="B174" s="2">
        <v>300</v>
      </c>
      <c r="C174" s="5">
        <f>C163</f>
        <v>5179.72</v>
      </c>
      <c r="D174" s="5">
        <f>D171</f>
        <v>5179.72</v>
      </c>
      <c r="E174" s="5">
        <f>E163</f>
        <v>5179.72</v>
      </c>
      <c r="F174" s="5">
        <f>F175</f>
        <v>264.16572000000002</v>
      </c>
      <c r="G174" s="5">
        <f>G175</f>
        <v>264.16572000000002</v>
      </c>
      <c r="H174" s="5">
        <f>H175</f>
        <v>264.16572000000002</v>
      </c>
    </row>
    <row r="175" spans="1:11" x14ac:dyDescent="0.2">
      <c r="A175" s="6" t="s">
        <v>14</v>
      </c>
      <c r="B175" s="388">
        <v>310</v>
      </c>
      <c r="C175" s="403">
        <f>C163</f>
        <v>5179.72</v>
      </c>
      <c r="D175" s="403">
        <f>D163</f>
        <v>5179.72</v>
      </c>
      <c r="E175" s="403">
        <f>E163</f>
        <v>5179.72</v>
      </c>
      <c r="F175" s="403">
        <f>C175*5.1%</f>
        <v>264.16572000000002</v>
      </c>
      <c r="G175" s="403">
        <f>D175*5.1%</f>
        <v>264.16572000000002</v>
      </c>
      <c r="H175" s="403">
        <f>E175*5.1%</f>
        <v>264.16572000000002</v>
      </c>
    </row>
    <row r="176" spans="1:11" ht="25.5" x14ac:dyDescent="0.2">
      <c r="A176" s="6" t="s">
        <v>213</v>
      </c>
      <c r="B176" s="388"/>
      <c r="C176" s="403"/>
      <c r="D176" s="403"/>
      <c r="E176" s="403"/>
      <c r="F176" s="403"/>
      <c r="G176" s="403"/>
      <c r="H176" s="403"/>
      <c r="K176" s="28"/>
    </row>
    <row r="177" spans="1:8" ht="23.25" customHeight="1" x14ac:dyDescent="0.2">
      <c r="A177" s="6" t="s">
        <v>133</v>
      </c>
      <c r="B177" s="2">
        <v>9000</v>
      </c>
      <c r="C177" s="2" t="s">
        <v>11</v>
      </c>
      <c r="D177" s="2" t="s">
        <v>11</v>
      </c>
      <c r="E177" s="2" t="s">
        <v>11</v>
      </c>
      <c r="F177" s="163">
        <f>F162+F167+F174</f>
        <v>1564.2754400000001</v>
      </c>
      <c r="G177" s="163">
        <f>G162+G167+G174</f>
        <v>1564.2754400000001</v>
      </c>
      <c r="H177" s="163">
        <f>H162+H167+H174</f>
        <v>1564.2754400000001</v>
      </c>
    </row>
    <row r="179" spans="1:8" x14ac:dyDescent="0.2">
      <c r="C179" s="405"/>
      <c r="D179" s="405"/>
      <c r="E179" s="405"/>
    </row>
    <row r="180" spans="1:8" x14ac:dyDescent="0.2">
      <c r="C180" s="404" t="s">
        <v>572</v>
      </c>
      <c r="D180" s="404"/>
      <c r="E180" s="404"/>
    </row>
    <row r="181" spans="1:8" x14ac:dyDescent="0.2">
      <c r="A181" s="388" t="s">
        <v>200</v>
      </c>
      <c r="B181" s="388" t="s">
        <v>1</v>
      </c>
      <c r="C181" s="388" t="s">
        <v>201</v>
      </c>
      <c r="D181" s="388"/>
      <c r="E181" s="388"/>
      <c r="F181" s="388" t="s">
        <v>202</v>
      </c>
      <c r="G181" s="388"/>
      <c r="H181" s="388"/>
    </row>
    <row r="182" spans="1:8" x14ac:dyDescent="0.2">
      <c r="A182" s="388"/>
      <c r="B182" s="388"/>
      <c r="C182" s="16" t="s">
        <v>418</v>
      </c>
      <c r="D182" s="16" t="s">
        <v>548</v>
      </c>
      <c r="E182" s="16" t="s">
        <v>583</v>
      </c>
      <c r="F182" s="16" t="s">
        <v>418</v>
      </c>
      <c r="G182" s="16" t="s">
        <v>548</v>
      </c>
      <c r="H182" s="16" t="s">
        <v>583</v>
      </c>
    </row>
    <row r="183" spans="1:8" ht="38.25" x14ac:dyDescent="0.2">
      <c r="A183" s="388"/>
      <c r="B183" s="388"/>
      <c r="C183" s="226" t="s">
        <v>73</v>
      </c>
      <c r="D183" s="226" t="s">
        <v>74</v>
      </c>
      <c r="E183" s="226" t="s">
        <v>75</v>
      </c>
      <c r="F183" s="226" t="s">
        <v>73</v>
      </c>
      <c r="G183" s="226" t="s">
        <v>74</v>
      </c>
      <c r="H183" s="226" t="s">
        <v>75</v>
      </c>
    </row>
    <row r="184" spans="1:8" x14ac:dyDescent="0.2">
      <c r="A184" s="226">
        <v>1</v>
      </c>
      <c r="B184" s="226">
        <v>2</v>
      </c>
      <c r="C184" s="226">
        <v>3</v>
      </c>
      <c r="D184" s="226">
        <v>4</v>
      </c>
      <c r="E184" s="226">
        <v>5</v>
      </c>
      <c r="F184" s="226">
        <v>6</v>
      </c>
      <c r="G184" s="226">
        <v>7</v>
      </c>
      <c r="H184" s="226">
        <v>8</v>
      </c>
    </row>
    <row r="185" spans="1:8" ht="25.5" x14ac:dyDescent="0.2">
      <c r="A185" s="227" t="s">
        <v>203</v>
      </c>
      <c r="B185" s="226">
        <v>100</v>
      </c>
      <c r="C185" s="229"/>
      <c r="D185" s="229"/>
      <c r="E185" s="229"/>
      <c r="F185" s="229">
        <f>F186+F188+F189</f>
        <v>770386.94260000007</v>
      </c>
      <c r="G185" s="229">
        <f>G186</f>
        <v>770386.94260000007</v>
      </c>
      <c r="H185" s="229">
        <f>H186</f>
        <v>0</v>
      </c>
    </row>
    <row r="186" spans="1:8" x14ac:dyDescent="0.2">
      <c r="A186" s="227" t="s">
        <v>14</v>
      </c>
      <c r="B186" s="388">
        <v>110</v>
      </c>
      <c r="C186" s="403">
        <f>'3.6.3 (2)'!K110</f>
        <v>3501758.83</v>
      </c>
      <c r="D186" s="403">
        <f>'3.6.4 (2)'!K114</f>
        <v>3501758.83</v>
      </c>
      <c r="E186" s="403">
        <f>'3.6.5 (2)'!K106</f>
        <v>0</v>
      </c>
      <c r="F186" s="403">
        <f>C186/100*22</f>
        <v>770386.94260000007</v>
      </c>
      <c r="G186" s="403">
        <f>D186*22%</f>
        <v>770386.94260000007</v>
      </c>
      <c r="H186" s="403">
        <f>E186*22%</f>
        <v>0</v>
      </c>
    </row>
    <row r="187" spans="1:8" x14ac:dyDescent="0.2">
      <c r="A187" s="227" t="s">
        <v>204</v>
      </c>
      <c r="B187" s="388"/>
      <c r="C187" s="403"/>
      <c r="D187" s="403"/>
      <c r="E187" s="403"/>
      <c r="F187" s="403"/>
      <c r="G187" s="403"/>
      <c r="H187" s="403"/>
    </row>
    <row r="188" spans="1:8" x14ac:dyDescent="0.2">
      <c r="A188" s="227" t="s">
        <v>205</v>
      </c>
      <c r="B188" s="226">
        <v>120</v>
      </c>
      <c r="C188" s="229"/>
      <c r="D188" s="229"/>
      <c r="E188" s="229"/>
      <c r="F188" s="229"/>
      <c r="G188" s="229"/>
      <c r="H188" s="229"/>
    </row>
    <row r="189" spans="1:8" ht="38.25" x14ac:dyDescent="0.2">
      <c r="A189" s="227" t="s">
        <v>206</v>
      </c>
      <c r="B189" s="226">
        <v>130</v>
      </c>
      <c r="C189" s="229"/>
      <c r="D189" s="229"/>
      <c r="E189" s="229"/>
      <c r="F189" s="229"/>
      <c r="G189" s="229"/>
      <c r="H189" s="229"/>
    </row>
    <row r="190" spans="1:8" ht="25.5" x14ac:dyDescent="0.2">
      <c r="A190" s="227" t="s">
        <v>207</v>
      </c>
      <c r="B190" s="226">
        <v>200</v>
      </c>
      <c r="C190" s="229"/>
      <c r="D190" s="229"/>
      <c r="E190" s="229"/>
      <c r="F190" s="229">
        <f>F191+F194</f>
        <v>108554.52373</v>
      </c>
      <c r="G190" s="229">
        <f>G191+G194</f>
        <v>108554.52372999999</v>
      </c>
      <c r="H190" s="229">
        <f>H191+H194</f>
        <v>0</v>
      </c>
    </row>
    <row r="191" spans="1:8" x14ac:dyDescent="0.2">
      <c r="A191" s="227" t="s">
        <v>14</v>
      </c>
      <c r="B191" s="388">
        <v>210</v>
      </c>
      <c r="C191" s="403">
        <f>C186</f>
        <v>3501758.83</v>
      </c>
      <c r="D191" s="403">
        <f>D186</f>
        <v>3501758.83</v>
      </c>
      <c r="E191" s="403">
        <f>E186</f>
        <v>0</v>
      </c>
      <c r="F191" s="403">
        <f>C191/100*2.9</f>
        <v>101551.00607</v>
      </c>
      <c r="G191" s="403">
        <f>D191*2.9%</f>
        <v>101551.00606999999</v>
      </c>
      <c r="H191" s="403">
        <f>E191*2.9%</f>
        <v>0</v>
      </c>
    </row>
    <row r="192" spans="1:8" ht="38.25" x14ac:dyDescent="0.2">
      <c r="A192" s="227" t="s">
        <v>208</v>
      </c>
      <c r="B192" s="388"/>
      <c r="C192" s="403"/>
      <c r="D192" s="403"/>
      <c r="E192" s="403"/>
      <c r="F192" s="403"/>
      <c r="G192" s="403"/>
      <c r="H192" s="403"/>
    </row>
    <row r="193" spans="1:8" ht="25.5" x14ac:dyDescent="0.2">
      <c r="A193" s="227" t="s">
        <v>209</v>
      </c>
      <c r="B193" s="226">
        <v>220</v>
      </c>
      <c r="C193" s="229"/>
      <c r="D193" s="229"/>
      <c r="E193" s="229"/>
      <c r="F193" s="229"/>
      <c r="G193" s="229"/>
      <c r="H193" s="229"/>
    </row>
    <row r="194" spans="1:8" ht="38.25" x14ac:dyDescent="0.2">
      <c r="A194" s="227" t="s">
        <v>210</v>
      </c>
      <c r="B194" s="226">
        <v>230</v>
      </c>
      <c r="C194" s="229">
        <f>C186</f>
        <v>3501758.83</v>
      </c>
      <c r="D194" s="229">
        <f>D191</f>
        <v>3501758.83</v>
      </c>
      <c r="E194" s="229">
        <f>E191</f>
        <v>0</v>
      </c>
      <c r="F194" s="229">
        <f>C194/100*0.2</f>
        <v>7003.5176600000013</v>
      </c>
      <c r="G194" s="229">
        <f>D194*0.2%</f>
        <v>7003.5176600000004</v>
      </c>
      <c r="H194" s="229">
        <f>E194*0.2%</f>
        <v>0</v>
      </c>
    </row>
    <row r="195" spans="1:8" ht="38.25" x14ac:dyDescent="0.2">
      <c r="A195" s="4" t="s">
        <v>211</v>
      </c>
      <c r="B195" s="226">
        <v>240</v>
      </c>
      <c r="C195" s="229"/>
      <c r="D195" s="229"/>
      <c r="E195" s="229"/>
      <c r="F195" s="229"/>
      <c r="G195" s="229"/>
      <c r="H195" s="229"/>
    </row>
    <row r="196" spans="1:8" ht="38.25" x14ac:dyDescent="0.2">
      <c r="A196" s="4" t="s">
        <v>211</v>
      </c>
      <c r="B196" s="227"/>
      <c r="C196" s="229"/>
      <c r="D196" s="229"/>
      <c r="E196" s="229"/>
      <c r="F196" s="229"/>
      <c r="G196" s="229"/>
      <c r="H196" s="229"/>
    </row>
    <row r="197" spans="1:8" ht="25.5" x14ac:dyDescent="0.2">
      <c r="A197" s="227" t="s">
        <v>212</v>
      </c>
      <c r="B197" s="226">
        <v>300</v>
      </c>
      <c r="C197" s="229">
        <f>C186</f>
        <v>3501758.83</v>
      </c>
      <c r="D197" s="229">
        <f>D194</f>
        <v>3501758.83</v>
      </c>
      <c r="E197" s="229">
        <f>E186</f>
        <v>0</v>
      </c>
      <c r="F197" s="229">
        <f>F198</f>
        <v>178589.70032999999</v>
      </c>
      <c r="G197" s="229">
        <f>G198</f>
        <v>178589.70032999999</v>
      </c>
      <c r="H197" s="229">
        <f>H198</f>
        <v>0</v>
      </c>
    </row>
    <row r="198" spans="1:8" ht="29.25" customHeight="1" x14ac:dyDescent="0.2">
      <c r="A198" s="227" t="s">
        <v>14</v>
      </c>
      <c r="B198" s="388">
        <v>310</v>
      </c>
      <c r="C198" s="403">
        <f>C186</f>
        <v>3501758.83</v>
      </c>
      <c r="D198" s="403">
        <f>D186</f>
        <v>3501758.83</v>
      </c>
      <c r="E198" s="403">
        <f>E186</f>
        <v>0</v>
      </c>
      <c r="F198" s="403">
        <f>C198*5.1%</f>
        <v>178589.70032999999</v>
      </c>
      <c r="G198" s="403">
        <f>D198*5.1%</f>
        <v>178589.70032999999</v>
      </c>
      <c r="H198" s="403">
        <f>E198*5.1%</f>
        <v>0</v>
      </c>
    </row>
    <row r="199" spans="1:8" ht="22.5" customHeight="1" x14ac:dyDescent="0.2">
      <c r="A199" s="227" t="s">
        <v>213</v>
      </c>
      <c r="B199" s="388"/>
      <c r="C199" s="403"/>
      <c r="D199" s="403"/>
      <c r="E199" s="403"/>
      <c r="F199" s="403"/>
      <c r="G199" s="403"/>
      <c r="H199" s="403"/>
    </row>
    <row r="200" spans="1:8" ht="24" customHeight="1" x14ac:dyDescent="0.2">
      <c r="A200" s="227" t="s">
        <v>133</v>
      </c>
      <c r="B200" s="226">
        <v>9000</v>
      </c>
      <c r="C200" s="226" t="s">
        <v>11</v>
      </c>
      <c r="D200" s="226" t="s">
        <v>11</v>
      </c>
      <c r="E200" s="226" t="s">
        <v>11</v>
      </c>
      <c r="F200" s="247">
        <f>F185+F190+F197</f>
        <v>1057531.1666600001</v>
      </c>
      <c r="G200" s="247">
        <f>G185+G190+G197</f>
        <v>1057531.1666600001</v>
      </c>
      <c r="H200" s="247">
        <f>H185+H190+H197</f>
        <v>0</v>
      </c>
    </row>
    <row r="201" spans="1:8" x14ac:dyDescent="0.2">
      <c r="F201" s="28"/>
    </row>
    <row r="202" spans="1:8" x14ac:dyDescent="0.2">
      <c r="F202" s="28"/>
      <c r="G202" s="28"/>
      <c r="H202" s="28"/>
    </row>
    <row r="205" spans="1:8" x14ac:dyDescent="0.2">
      <c r="F205" s="28"/>
    </row>
    <row r="206" spans="1:8" ht="24.75" customHeight="1" x14ac:dyDescent="0.2">
      <c r="F206" s="246">
        <f>F22+F45+F67+F89+F111+F133+F155+F177+F200+0.01</f>
        <v>9235567.3893325999</v>
      </c>
      <c r="G206" s="246">
        <f>G22+G45+G67+G89+G111+G133+G155+G177+G200+0.01</f>
        <v>9127728.7709464002</v>
      </c>
      <c r="H206" s="246">
        <f>H22+H45+H67+H89+H111+H133+H155+H177+H200</f>
        <v>8070220.8232676014</v>
      </c>
    </row>
  </sheetData>
  <mergeCells count="235">
    <mergeCell ref="B198:B199"/>
    <mergeCell ref="C198:C199"/>
    <mergeCell ref="D198:D199"/>
    <mergeCell ref="E198:E199"/>
    <mergeCell ref="F198:F199"/>
    <mergeCell ref="G198:G199"/>
    <mergeCell ref="H198:H199"/>
    <mergeCell ref="C179:E179"/>
    <mergeCell ref="C180:E180"/>
    <mergeCell ref="E186:E187"/>
    <mergeCell ref="F186:F187"/>
    <mergeCell ref="G186:G187"/>
    <mergeCell ref="H186:H187"/>
    <mergeCell ref="B191:B192"/>
    <mergeCell ref="C191:C192"/>
    <mergeCell ref="D191:D192"/>
    <mergeCell ref="E191:E192"/>
    <mergeCell ref="F191:F192"/>
    <mergeCell ref="G191:G192"/>
    <mergeCell ref="H191:H192"/>
    <mergeCell ref="A181:A183"/>
    <mergeCell ref="B181:B183"/>
    <mergeCell ref="C181:E181"/>
    <mergeCell ref="F181:H181"/>
    <mergeCell ref="B186:B187"/>
    <mergeCell ref="C186:C187"/>
    <mergeCell ref="D186:D187"/>
    <mergeCell ref="B175:B176"/>
    <mergeCell ref="C175:C176"/>
    <mergeCell ref="D175:D176"/>
    <mergeCell ref="E175:E176"/>
    <mergeCell ref="F175:F176"/>
    <mergeCell ref="G175:G176"/>
    <mergeCell ref="H175:H176"/>
    <mergeCell ref="B168:B169"/>
    <mergeCell ref="C168:C169"/>
    <mergeCell ref="C157:E157"/>
    <mergeCell ref="A158:A160"/>
    <mergeCell ref="B158:B160"/>
    <mergeCell ref="C158:E158"/>
    <mergeCell ref="F168:F169"/>
    <mergeCell ref="G168:G169"/>
    <mergeCell ref="D168:D169"/>
    <mergeCell ref="E168:E169"/>
    <mergeCell ref="F158:H158"/>
    <mergeCell ref="B163:B164"/>
    <mergeCell ref="C163:C164"/>
    <mergeCell ref="D163:D164"/>
    <mergeCell ref="E163:E164"/>
    <mergeCell ref="F163:F164"/>
    <mergeCell ref="G163:G164"/>
    <mergeCell ref="H163:H164"/>
    <mergeCell ref="H168:H169"/>
    <mergeCell ref="H146:H147"/>
    <mergeCell ref="B141:B142"/>
    <mergeCell ref="G153:G154"/>
    <mergeCell ref="H153:H154"/>
    <mergeCell ref="B153:B154"/>
    <mergeCell ref="C153:C154"/>
    <mergeCell ref="D153:D154"/>
    <mergeCell ref="E153:E154"/>
    <mergeCell ref="F153:F154"/>
    <mergeCell ref="B146:B147"/>
    <mergeCell ref="C146:C147"/>
    <mergeCell ref="D146:D147"/>
    <mergeCell ref="E146:E147"/>
    <mergeCell ref="F146:F147"/>
    <mergeCell ref="G146:G147"/>
    <mergeCell ref="C141:C142"/>
    <mergeCell ref="D141:D142"/>
    <mergeCell ref="E141:E142"/>
    <mergeCell ref="F141:F142"/>
    <mergeCell ref="G141:G142"/>
    <mergeCell ref="H141:H142"/>
    <mergeCell ref="C135:E135"/>
    <mergeCell ref="A136:A138"/>
    <mergeCell ref="B136:B138"/>
    <mergeCell ref="C136:E136"/>
    <mergeCell ref="F136:H136"/>
    <mergeCell ref="B131:B132"/>
    <mergeCell ref="C131:C132"/>
    <mergeCell ref="D131:D132"/>
    <mergeCell ref="E131:E132"/>
    <mergeCell ref="F131:F132"/>
    <mergeCell ref="G119:G120"/>
    <mergeCell ref="H119:H120"/>
    <mergeCell ref="F124:F125"/>
    <mergeCell ref="G124:G125"/>
    <mergeCell ref="H124:H125"/>
    <mergeCell ref="F119:F120"/>
    <mergeCell ref="G131:G132"/>
    <mergeCell ref="H131:H132"/>
    <mergeCell ref="B119:B120"/>
    <mergeCell ref="C119:C120"/>
    <mergeCell ref="D119:D120"/>
    <mergeCell ref="E119:E120"/>
    <mergeCell ref="B124:B125"/>
    <mergeCell ref="C124:C125"/>
    <mergeCell ref="D124:D125"/>
    <mergeCell ref="E124:E125"/>
    <mergeCell ref="C113:E113"/>
    <mergeCell ref="A114:A116"/>
    <mergeCell ref="B114:B116"/>
    <mergeCell ref="C114:E114"/>
    <mergeCell ref="F114:H114"/>
    <mergeCell ref="B109:B110"/>
    <mergeCell ref="C109:C110"/>
    <mergeCell ref="D109:D110"/>
    <mergeCell ref="E109:E110"/>
    <mergeCell ref="F109:F110"/>
    <mergeCell ref="G97:G98"/>
    <mergeCell ref="H97:H98"/>
    <mergeCell ref="F102:F103"/>
    <mergeCell ref="G102:G103"/>
    <mergeCell ref="H102:H103"/>
    <mergeCell ref="F97:F98"/>
    <mergeCell ref="G109:G110"/>
    <mergeCell ref="H109:H110"/>
    <mergeCell ref="B97:B98"/>
    <mergeCell ref="C97:C98"/>
    <mergeCell ref="D97:D98"/>
    <mergeCell ref="E97:E98"/>
    <mergeCell ref="B102:B103"/>
    <mergeCell ref="C102:C103"/>
    <mergeCell ref="D102:D103"/>
    <mergeCell ref="E102:E103"/>
    <mergeCell ref="C91:E91"/>
    <mergeCell ref="A92:A94"/>
    <mergeCell ref="B92:B94"/>
    <mergeCell ref="C92:E92"/>
    <mergeCell ref="F92:H92"/>
    <mergeCell ref="B87:B88"/>
    <mergeCell ref="C87:C88"/>
    <mergeCell ref="D87:D88"/>
    <mergeCell ref="E87:E88"/>
    <mergeCell ref="F87:F88"/>
    <mergeCell ref="G75:G76"/>
    <mergeCell ref="H75:H76"/>
    <mergeCell ref="F80:F81"/>
    <mergeCell ref="G80:G81"/>
    <mergeCell ref="H80:H81"/>
    <mergeCell ref="F75:F76"/>
    <mergeCell ref="G87:G88"/>
    <mergeCell ref="H87:H88"/>
    <mergeCell ref="B75:B76"/>
    <mergeCell ref="C75:C76"/>
    <mergeCell ref="D75:D76"/>
    <mergeCell ref="E75:E76"/>
    <mergeCell ref="B80:B81"/>
    <mergeCell ref="C80:C81"/>
    <mergeCell ref="D80:D81"/>
    <mergeCell ref="E80:E81"/>
    <mergeCell ref="G65:G66"/>
    <mergeCell ref="H65:H66"/>
    <mergeCell ref="C69:E69"/>
    <mergeCell ref="A70:A72"/>
    <mergeCell ref="B70:B72"/>
    <mergeCell ref="C70:E70"/>
    <mergeCell ref="F70:H70"/>
    <mergeCell ref="B65:B66"/>
    <mergeCell ref="C65:C66"/>
    <mergeCell ref="D65:D66"/>
    <mergeCell ref="E65:E66"/>
    <mergeCell ref="F65:F66"/>
    <mergeCell ref="G53:G54"/>
    <mergeCell ref="H53:H54"/>
    <mergeCell ref="F58:F59"/>
    <mergeCell ref="G58:G59"/>
    <mergeCell ref="H58:H59"/>
    <mergeCell ref="F53:F54"/>
    <mergeCell ref="B58:B59"/>
    <mergeCell ref="C58:C59"/>
    <mergeCell ref="D58:D59"/>
    <mergeCell ref="E58:E59"/>
    <mergeCell ref="A48:A50"/>
    <mergeCell ref="B48:B50"/>
    <mergeCell ref="C48:E48"/>
    <mergeCell ref="B53:B54"/>
    <mergeCell ref="C53:C54"/>
    <mergeCell ref="D53:D54"/>
    <mergeCell ref="E53:E54"/>
    <mergeCell ref="B43:B44"/>
    <mergeCell ref="C43:C44"/>
    <mergeCell ref="D43:D44"/>
    <mergeCell ref="E43:E44"/>
    <mergeCell ref="F43:F44"/>
    <mergeCell ref="G43:G44"/>
    <mergeCell ref="C36:C37"/>
    <mergeCell ref="D36:D37"/>
    <mergeCell ref="E36:E37"/>
    <mergeCell ref="F48:H48"/>
    <mergeCell ref="G36:G37"/>
    <mergeCell ref="H36:H37"/>
    <mergeCell ref="H43:H44"/>
    <mergeCell ref="C47:E47"/>
    <mergeCell ref="F36:F37"/>
    <mergeCell ref="F26:H26"/>
    <mergeCell ref="B31:B32"/>
    <mergeCell ref="C31:C32"/>
    <mergeCell ref="D31:D32"/>
    <mergeCell ref="E31:E32"/>
    <mergeCell ref="F31:F32"/>
    <mergeCell ref="G31:G32"/>
    <mergeCell ref="H31:H32"/>
    <mergeCell ref="B36:B37"/>
    <mergeCell ref="C2:E2"/>
    <mergeCell ref="C25:E25"/>
    <mergeCell ref="B13:B14"/>
    <mergeCell ref="C13:C14"/>
    <mergeCell ref="D13:D14"/>
    <mergeCell ref="E13:E14"/>
    <mergeCell ref="A26:A28"/>
    <mergeCell ref="B26:B28"/>
    <mergeCell ref="C26:E26"/>
    <mergeCell ref="A3:A5"/>
    <mergeCell ref="B3:B5"/>
    <mergeCell ref="C3:E3"/>
    <mergeCell ref="H20:H21"/>
    <mergeCell ref="B20:B21"/>
    <mergeCell ref="C20:C21"/>
    <mergeCell ref="D20:D21"/>
    <mergeCell ref="E20:E21"/>
    <mergeCell ref="F20:F21"/>
    <mergeCell ref="G20:G21"/>
    <mergeCell ref="H13:H14"/>
    <mergeCell ref="F3:H3"/>
    <mergeCell ref="B8:B9"/>
    <mergeCell ref="C8:C9"/>
    <mergeCell ref="G8:G9"/>
    <mergeCell ref="H8:H9"/>
    <mergeCell ref="D8:D9"/>
    <mergeCell ref="E8:E9"/>
    <mergeCell ref="F8:F9"/>
    <mergeCell ref="F13:F14"/>
    <mergeCell ref="G13:G14"/>
  </mergeCells>
  <phoneticPr fontId="15" type="noConversion"/>
  <hyperlinks>
    <hyperlink ref="A17" location="Par1417" display="Par1417"/>
    <hyperlink ref="A18" location="Par1417" display="Par1417"/>
    <hyperlink ref="A40" location="Par1417" display="Par1417"/>
    <hyperlink ref="A41" location="Par1417" display="Par1417"/>
    <hyperlink ref="A62" location="Par1417" display="Par1417"/>
    <hyperlink ref="A63" location="Par1417" display="Par1417"/>
    <hyperlink ref="A84" location="Par1417" display="Par1417"/>
    <hyperlink ref="A85" location="Par1417" display="Par1417"/>
    <hyperlink ref="A106" location="Par1417" display="Par1417"/>
    <hyperlink ref="A107" location="Par1417" display="Par1417"/>
    <hyperlink ref="A128" location="Par1417" display="Par1417"/>
    <hyperlink ref="A129" location="Par1417" display="Par1417"/>
    <hyperlink ref="A150" location="Par1417" display="Par1417"/>
    <hyperlink ref="A151" location="Par1417" display="Par1417"/>
    <hyperlink ref="A172" location="Par1417" display="Par1417"/>
    <hyperlink ref="A173" location="Par1417" display="Par1417"/>
    <hyperlink ref="A195" location="Par1417" display="Par1417"/>
    <hyperlink ref="A196" location="Par1417" display="Par1417"/>
  </hyperlinks>
  <pageMargins left="0.70866141732283472" right="0.70866141732283472" top="0.74803149606299213" bottom="0.74803149606299213" header="0.31496062992125984" footer="0.31496062992125984"/>
  <pageSetup paperSize="9" scale="84" orientation="landscape" r:id="rId1"/>
  <rowBreaks count="8" manualBreakCount="8">
    <brk id="24" max="16383" man="1"/>
    <brk id="46" max="16383" man="1"/>
    <brk id="68" max="16383" man="1"/>
    <brk id="90" max="16383" man="1"/>
    <brk id="112" max="16383" man="1"/>
    <brk id="134" max="16383" man="1"/>
    <brk id="156" max="16383" man="1"/>
    <brk id="1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62"/>
  <sheetViews>
    <sheetView view="pageLayout" topLeftCell="A34" workbookViewId="0">
      <selection activeCell="H9" sqref="H9"/>
    </sheetView>
  </sheetViews>
  <sheetFormatPr defaultRowHeight="15" x14ac:dyDescent="0.25"/>
  <cols>
    <col min="1" max="1" width="11.28515625" style="1" bestFit="1" customWidth="1"/>
    <col min="2" max="2" width="61.42578125" style="1" customWidth="1"/>
    <col min="3" max="3" width="9.28515625" style="1" bestFit="1" customWidth="1"/>
    <col min="4" max="4" width="13" style="1" customWidth="1"/>
    <col min="5" max="5" width="14.28515625" style="1" customWidth="1"/>
    <col min="6" max="6" width="16.85546875" style="1" customWidth="1"/>
    <col min="7" max="7" width="17.7109375" style="1" customWidth="1"/>
    <col min="8" max="8" width="16.140625" style="1" customWidth="1"/>
    <col min="9" max="10" width="13" style="1" customWidth="1"/>
    <col min="11" max="16384" width="9.140625" style="1"/>
  </cols>
  <sheetData>
    <row r="1" spans="1:9" ht="21" customHeight="1" x14ac:dyDescent="0.25">
      <c r="A1" s="381" t="s">
        <v>101</v>
      </c>
      <c r="B1" s="381"/>
      <c r="C1" s="381"/>
      <c r="D1" s="66"/>
      <c r="E1" s="66"/>
      <c r="F1" s="66"/>
      <c r="G1" s="66"/>
      <c r="H1" s="66"/>
      <c r="I1" s="66"/>
    </row>
    <row r="2" spans="1:9" ht="15.75" x14ac:dyDescent="0.25">
      <c r="A2" s="373" t="s">
        <v>69</v>
      </c>
      <c r="B2" s="373" t="s">
        <v>0</v>
      </c>
      <c r="C2" s="373" t="s">
        <v>70</v>
      </c>
      <c r="D2" s="373" t="s">
        <v>71</v>
      </c>
      <c r="E2" s="377" t="s">
        <v>541</v>
      </c>
      <c r="F2" s="373" t="s">
        <v>72</v>
      </c>
      <c r="G2" s="373"/>
      <c r="H2" s="373"/>
      <c r="I2" s="373"/>
    </row>
    <row r="3" spans="1:9" ht="20.25" customHeight="1" x14ac:dyDescent="0.25">
      <c r="A3" s="373"/>
      <c r="B3" s="373"/>
      <c r="C3" s="373"/>
      <c r="D3" s="373"/>
      <c r="E3" s="382"/>
      <c r="F3" s="121" t="s">
        <v>418</v>
      </c>
      <c r="G3" s="121" t="s">
        <v>548</v>
      </c>
      <c r="H3" s="121" t="s">
        <v>583</v>
      </c>
      <c r="I3" s="373" t="s">
        <v>4</v>
      </c>
    </row>
    <row r="4" spans="1:9" ht="47.25" x14ac:dyDescent="0.25">
      <c r="A4" s="373"/>
      <c r="B4" s="373"/>
      <c r="C4" s="373"/>
      <c r="D4" s="373"/>
      <c r="E4" s="378"/>
      <c r="F4" s="121" t="s">
        <v>73</v>
      </c>
      <c r="G4" s="121" t="s">
        <v>74</v>
      </c>
      <c r="H4" s="121" t="s">
        <v>75</v>
      </c>
      <c r="I4" s="373"/>
    </row>
    <row r="5" spans="1:9" ht="15.75" x14ac:dyDescent="0.25">
      <c r="A5" s="121">
        <v>1</v>
      </c>
      <c r="B5" s="121">
        <v>2</v>
      </c>
      <c r="C5" s="121">
        <v>3</v>
      </c>
      <c r="D5" s="121">
        <v>4</v>
      </c>
      <c r="E5" s="157" t="s">
        <v>540</v>
      </c>
      <c r="F5" s="121">
        <v>5</v>
      </c>
      <c r="G5" s="121">
        <v>6</v>
      </c>
      <c r="H5" s="121">
        <v>7</v>
      </c>
      <c r="I5" s="121">
        <v>8</v>
      </c>
    </row>
    <row r="6" spans="1:9" ht="36.75" customHeight="1" x14ac:dyDescent="0.25">
      <c r="A6" s="122">
        <v>1</v>
      </c>
      <c r="B6" s="127" t="s">
        <v>76</v>
      </c>
      <c r="C6" s="121">
        <v>26000</v>
      </c>
      <c r="D6" s="121" t="s">
        <v>11</v>
      </c>
      <c r="E6" s="149"/>
      <c r="F6" s="43">
        <f>F7+F9+F10+F16</f>
        <v>25287828.16</v>
      </c>
      <c r="G6" s="43">
        <f>G7+G9+G10+G16</f>
        <v>23623269.43</v>
      </c>
      <c r="H6" s="43">
        <f>H7+H9+H10+H16</f>
        <v>23044488.66</v>
      </c>
      <c r="I6" s="123"/>
    </row>
    <row r="7" spans="1:9" ht="22.5" customHeight="1" x14ac:dyDescent="0.25">
      <c r="A7" s="374" t="s">
        <v>102</v>
      </c>
      <c r="B7" s="17" t="s">
        <v>14</v>
      </c>
      <c r="C7" s="373">
        <v>26100</v>
      </c>
      <c r="D7" s="373" t="s">
        <v>11</v>
      </c>
      <c r="E7" s="377"/>
      <c r="F7" s="375"/>
      <c r="G7" s="375"/>
      <c r="H7" s="375"/>
      <c r="I7" s="375"/>
    </row>
    <row r="8" spans="1:9" ht="141.75" x14ac:dyDescent="0.25">
      <c r="A8" s="374"/>
      <c r="B8" s="17" t="s">
        <v>77</v>
      </c>
      <c r="C8" s="373"/>
      <c r="D8" s="373"/>
      <c r="E8" s="378"/>
      <c r="F8" s="375"/>
      <c r="G8" s="375"/>
      <c r="H8" s="375"/>
      <c r="I8" s="375"/>
    </row>
    <row r="9" spans="1:9" ht="63" x14ac:dyDescent="0.25">
      <c r="A9" s="122" t="s">
        <v>103</v>
      </c>
      <c r="B9" s="17" t="s">
        <v>78</v>
      </c>
      <c r="C9" s="121">
        <v>26200</v>
      </c>
      <c r="D9" s="121" t="s">
        <v>11</v>
      </c>
      <c r="E9" s="149"/>
      <c r="F9" s="123"/>
      <c r="G9" s="123"/>
      <c r="H9" s="123"/>
      <c r="I9" s="123"/>
    </row>
    <row r="10" spans="1:9" ht="34.5" customHeight="1" x14ac:dyDescent="0.25">
      <c r="A10" s="122" t="s">
        <v>104</v>
      </c>
      <c r="B10" s="17" t="s">
        <v>79</v>
      </c>
      <c r="C10" s="121">
        <v>26300</v>
      </c>
      <c r="D10" s="121" t="s">
        <v>11</v>
      </c>
      <c r="E10" s="149"/>
      <c r="F10" s="43">
        <f>F14</f>
        <v>916639.09</v>
      </c>
      <c r="G10" s="43"/>
      <c r="H10" s="43"/>
      <c r="I10" s="123"/>
    </row>
    <row r="11" spans="1:9" ht="20.25" customHeight="1" x14ac:dyDescent="0.25">
      <c r="A11" s="383" t="s">
        <v>105</v>
      </c>
      <c r="B11" s="17" t="s">
        <v>14</v>
      </c>
      <c r="C11" s="373">
        <v>26310</v>
      </c>
      <c r="D11" s="373" t="s">
        <v>11</v>
      </c>
      <c r="E11" s="377"/>
      <c r="F11" s="375"/>
      <c r="G11" s="375"/>
      <c r="H11" s="375"/>
      <c r="I11" s="375"/>
    </row>
    <row r="12" spans="1:9" ht="23.25" customHeight="1" x14ac:dyDescent="0.25">
      <c r="A12" s="384"/>
      <c r="B12" s="127" t="s">
        <v>80</v>
      </c>
      <c r="C12" s="373"/>
      <c r="D12" s="373"/>
      <c r="E12" s="378"/>
      <c r="F12" s="375"/>
      <c r="G12" s="375"/>
      <c r="H12" s="375"/>
      <c r="I12" s="375"/>
    </row>
    <row r="13" spans="1:9" ht="20.25" customHeight="1" x14ac:dyDescent="0.25">
      <c r="A13" s="385"/>
      <c r="B13" s="127" t="s">
        <v>543</v>
      </c>
      <c r="C13" s="149" t="s">
        <v>542</v>
      </c>
      <c r="D13" s="149" t="s">
        <v>11</v>
      </c>
      <c r="E13" s="150"/>
      <c r="F13" s="147"/>
      <c r="G13" s="147"/>
      <c r="H13" s="147"/>
      <c r="I13" s="147"/>
    </row>
    <row r="14" spans="1:9" x14ac:dyDescent="0.25">
      <c r="A14" s="374" t="s">
        <v>106</v>
      </c>
      <c r="B14" s="386" t="s">
        <v>81</v>
      </c>
      <c r="C14" s="373">
        <v>26320</v>
      </c>
      <c r="D14" s="373" t="s">
        <v>11</v>
      </c>
      <c r="E14" s="377"/>
      <c r="F14" s="376">
        <v>916639.09</v>
      </c>
      <c r="G14" s="376"/>
      <c r="H14" s="376"/>
      <c r="I14" s="375"/>
    </row>
    <row r="15" spans="1:9" ht="15" customHeight="1" x14ac:dyDescent="0.25">
      <c r="A15" s="374"/>
      <c r="B15" s="387"/>
      <c r="C15" s="373"/>
      <c r="D15" s="373"/>
      <c r="E15" s="378"/>
      <c r="F15" s="376"/>
      <c r="G15" s="376"/>
      <c r="H15" s="376"/>
      <c r="I15" s="375"/>
    </row>
    <row r="16" spans="1:9" ht="63" x14ac:dyDescent="0.25">
      <c r="A16" s="122" t="s">
        <v>107</v>
      </c>
      <c r="B16" s="17" t="s">
        <v>82</v>
      </c>
      <c r="C16" s="121">
        <v>26400</v>
      </c>
      <c r="D16" s="121" t="s">
        <v>11</v>
      </c>
      <c r="E16" s="149"/>
      <c r="F16" s="43">
        <f>F17+F26+F33</f>
        <v>24371189.07</v>
      </c>
      <c r="G16" s="43">
        <f>G17+G26+G33</f>
        <v>23623269.43</v>
      </c>
      <c r="H16" s="43">
        <f>H21+H26+H33</f>
        <v>23044488.66</v>
      </c>
      <c r="I16" s="123"/>
    </row>
    <row r="17" spans="1:9" ht="15.75" x14ac:dyDescent="0.25">
      <c r="A17" s="374" t="s">
        <v>108</v>
      </c>
      <c r="B17" s="17" t="s">
        <v>14</v>
      </c>
      <c r="C17" s="373">
        <v>26410</v>
      </c>
      <c r="D17" s="373" t="s">
        <v>11</v>
      </c>
      <c r="E17" s="377"/>
      <c r="F17" s="376">
        <v>6224552.75</v>
      </c>
      <c r="G17" s="376">
        <v>7141192</v>
      </c>
      <c r="H17" s="376">
        <v>6958756.8799999999</v>
      </c>
      <c r="I17" s="375"/>
    </row>
    <row r="18" spans="1:9" ht="47.25" x14ac:dyDescent="0.25">
      <c r="A18" s="374"/>
      <c r="B18" s="17" t="s">
        <v>83</v>
      </c>
      <c r="C18" s="373"/>
      <c r="D18" s="373"/>
      <c r="E18" s="378"/>
      <c r="F18" s="376"/>
      <c r="G18" s="376"/>
      <c r="H18" s="376"/>
      <c r="I18" s="375"/>
    </row>
    <row r="19" spans="1:9" ht="15.75" x14ac:dyDescent="0.25">
      <c r="A19" s="374" t="s">
        <v>84</v>
      </c>
      <c r="B19" s="17" t="s">
        <v>14</v>
      </c>
      <c r="C19" s="379">
        <v>26411</v>
      </c>
      <c r="D19" s="373" t="s">
        <v>11</v>
      </c>
      <c r="E19" s="377"/>
      <c r="F19" s="380"/>
      <c r="G19" s="375"/>
      <c r="H19" s="375"/>
      <c r="I19" s="375"/>
    </row>
    <row r="20" spans="1:9" ht="15.75" x14ac:dyDescent="0.25">
      <c r="A20" s="374"/>
      <c r="B20" s="127" t="s">
        <v>80</v>
      </c>
      <c r="C20" s="379"/>
      <c r="D20" s="373"/>
      <c r="E20" s="378"/>
      <c r="F20" s="380"/>
      <c r="G20" s="375"/>
      <c r="H20" s="375"/>
      <c r="I20" s="375"/>
    </row>
    <row r="21" spans="1:9" ht="24" customHeight="1" x14ac:dyDescent="0.25">
      <c r="A21" s="122" t="s">
        <v>85</v>
      </c>
      <c r="B21" s="17" t="s">
        <v>86</v>
      </c>
      <c r="C21" s="267">
        <v>26412</v>
      </c>
      <c r="D21" s="121" t="s">
        <v>11</v>
      </c>
      <c r="E21" s="149"/>
      <c r="F21" s="260">
        <v>6289777.71</v>
      </c>
      <c r="G21" s="43">
        <v>7141192</v>
      </c>
      <c r="H21" s="43">
        <v>6958756.8799999999</v>
      </c>
      <c r="I21" s="123"/>
    </row>
    <row r="22" spans="1:9" ht="47.25" x14ac:dyDescent="0.25">
      <c r="A22" s="122" t="s">
        <v>109</v>
      </c>
      <c r="B22" s="127" t="s">
        <v>87</v>
      </c>
      <c r="C22" s="267">
        <v>26420</v>
      </c>
      <c r="D22" s="121" t="s">
        <v>11</v>
      </c>
      <c r="E22" s="149"/>
      <c r="F22" s="43">
        <f>F26</f>
        <v>16558611.359999999</v>
      </c>
      <c r="G22" s="43">
        <f>G26</f>
        <v>15013812</v>
      </c>
      <c r="H22" s="43">
        <f>H26</f>
        <v>15113930.99</v>
      </c>
      <c r="I22" s="123"/>
    </row>
    <row r="23" spans="1:9" ht="15.75" x14ac:dyDescent="0.25">
      <c r="A23" s="383" t="s">
        <v>88</v>
      </c>
      <c r="B23" s="17" t="s">
        <v>14</v>
      </c>
      <c r="C23" s="379">
        <v>26421</v>
      </c>
      <c r="D23" s="373" t="s">
        <v>11</v>
      </c>
      <c r="E23" s="377"/>
      <c r="F23" s="380"/>
      <c r="G23" s="375"/>
      <c r="H23" s="375"/>
      <c r="I23" s="375"/>
    </row>
    <row r="24" spans="1:9" ht="15.75" x14ac:dyDescent="0.25">
      <c r="A24" s="384"/>
      <c r="B24" s="127" t="s">
        <v>80</v>
      </c>
      <c r="C24" s="379"/>
      <c r="D24" s="373"/>
      <c r="E24" s="378"/>
      <c r="F24" s="380"/>
      <c r="G24" s="375"/>
      <c r="H24" s="375"/>
      <c r="I24" s="375"/>
    </row>
    <row r="25" spans="1:9" ht="15.75" x14ac:dyDescent="0.25">
      <c r="A25" s="385"/>
      <c r="B25" s="127" t="s">
        <v>543</v>
      </c>
      <c r="C25" s="267" t="s">
        <v>544</v>
      </c>
      <c r="D25" s="149"/>
      <c r="E25" s="151"/>
      <c r="F25" s="148"/>
      <c r="G25" s="147"/>
      <c r="H25" s="147"/>
      <c r="I25" s="147"/>
    </row>
    <row r="26" spans="1:9" ht="15.75" x14ac:dyDescent="0.25">
      <c r="A26" s="122" t="s">
        <v>89</v>
      </c>
      <c r="B26" s="17" t="s">
        <v>86</v>
      </c>
      <c r="C26" s="267">
        <v>26422</v>
      </c>
      <c r="D26" s="121" t="s">
        <v>11</v>
      </c>
      <c r="E26" s="149"/>
      <c r="F26" s="266">
        <v>16558611.359999999</v>
      </c>
      <c r="G26" s="43">
        <v>15013812</v>
      </c>
      <c r="H26" s="43">
        <v>15113930.99</v>
      </c>
      <c r="I26" s="123"/>
    </row>
    <row r="27" spans="1:9" ht="31.5" x14ac:dyDescent="0.25">
      <c r="A27" s="383" t="s">
        <v>110</v>
      </c>
      <c r="B27" s="127" t="s">
        <v>90</v>
      </c>
      <c r="C27" s="121">
        <v>26430</v>
      </c>
      <c r="D27" s="121" t="s">
        <v>11</v>
      </c>
      <c r="E27" s="149"/>
      <c r="F27" s="124"/>
      <c r="G27" s="123"/>
      <c r="H27" s="123"/>
      <c r="I27" s="123"/>
    </row>
    <row r="28" spans="1:9" ht="15.75" x14ac:dyDescent="0.25">
      <c r="A28" s="385"/>
      <c r="B28" s="127" t="s">
        <v>543</v>
      </c>
      <c r="C28" s="149" t="s">
        <v>545</v>
      </c>
      <c r="D28" s="149" t="s">
        <v>11</v>
      </c>
      <c r="E28" s="149"/>
      <c r="F28" s="148"/>
      <c r="G28" s="147"/>
      <c r="H28" s="147"/>
      <c r="I28" s="147"/>
    </row>
    <row r="29" spans="1:9" ht="15.75" x14ac:dyDescent="0.25">
      <c r="A29" s="122" t="s">
        <v>111</v>
      </c>
      <c r="B29" s="17" t="s">
        <v>91</v>
      </c>
      <c r="C29" s="121">
        <v>26440</v>
      </c>
      <c r="D29" s="121" t="s">
        <v>11</v>
      </c>
      <c r="E29" s="149"/>
      <c r="F29" s="124"/>
      <c r="G29" s="123"/>
      <c r="H29" s="123"/>
      <c r="I29" s="123"/>
    </row>
    <row r="30" spans="1:9" ht="15.75" x14ac:dyDescent="0.25">
      <c r="A30" s="374" t="s">
        <v>92</v>
      </c>
      <c r="B30" s="17" t="s">
        <v>14</v>
      </c>
      <c r="C30" s="373">
        <v>26441</v>
      </c>
      <c r="D30" s="373" t="s">
        <v>11</v>
      </c>
      <c r="E30" s="377"/>
      <c r="F30" s="380"/>
      <c r="G30" s="375"/>
      <c r="H30" s="375"/>
      <c r="I30" s="375"/>
    </row>
    <row r="31" spans="1:9" ht="15.75" x14ac:dyDescent="0.25">
      <c r="A31" s="374"/>
      <c r="B31" s="127" t="s">
        <v>80</v>
      </c>
      <c r="C31" s="373"/>
      <c r="D31" s="373"/>
      <c r="E31" s="378"/>
      <c r="F31" s="380"/>
      <c r="G31" s="375"/>
      <c r="H31" s="375"/>
      <c r="I31" s="375"/>
    </row>
    <row r="32" spans="1:9" ht="15.75" x14ac:dyDescent="0.25">
      <c r="A32" s="122" t="s">
        <v>93</v>
      </c>
      <c r="B32" s="127" t="s">
        <v>94</v>
      </c>
      <c r="C32" s="121">
        <v>26442</v>
      </c>
      <c r="D32" s="121" t="s">
        <v>11</v>
      </c>
      <c r="E32" s="149"/>
      <c r="F32" s="124"/>
      <c r="G32" s="123"/>
      <c r="H32" s="123"/>
      <c r="I32" s="123"/>
    </row>
    <row r="33" spans="1:9" ht="30" customHeight="1" x14ac:dyDescent="0.25">
      <c r="A33" s="122" t="s">
        <v>112</v>
      </c>
      <c r="B33" s="17" t="s">
        <v>95</v>
      </c>
      <c r="C33" s="121">
        <v>26450</v>
      </c>
      <c r="D33" s="121" t="s">
        <v>11</v>
      </c>
      <c r="E33" s="149"/>
      <c r="F33" s="43">
        <f>F34+F37</f>
        <v>1588024.96</v>
      </c>
      <c r="G33" s="43">
        <f>G34+G37</f>
        <v>1468265.43</v>
      </c>
      <c r="H33" s="43">
        <f>H34+H37</f>
        <v>971800.79</v>
      </c>
      <c r="I33" s="123"/>
    </row>
    <row r="34" spans="1:9" ht="15.75" x14ac:dyDescent="0.25">
      <c r="A34" s="383" t="s">
        <v>96</v>
      </c>
      <c r="B34" s="17" t="s">
        <v>14</v>
      </c>
      <c r="C34" s="373">
        <v>26451</v>
      </c>
      <c r="D34" s="373" t="s">
        <v>11</v>
      </c>
      <c r="E34" s="377"/>
      <c r="F34" s="380"/>
      <c r="G34" s="375"/>
      <c r="H34" s="375"/>
      <c r="I34" s="375"/>
    </row>
    <row r="35" spans="1:9" ht="15.75" x14ac:dyDescent="0.25">
      <c r="A35" s="384"/>
      <c r="B35" s="127" t="s">
        <v>80</v>
      </c>
      <c r="C35" s="373"/>
      <c r="D35" s="373"/>
      <c r="E35" s="378"/>
      <c r="F35" s="380"/>
      <c r="G35" s="375"/>
      <c r="H35" s="375"/>
      <c r="I35" s="375"/>
    </row>
    <row r="36" spans="1:9" ht="15.75" x14ac:dyDescent="0.25">
      <c r="A36" s="385"/>
      <c r="B36" s="127" t="s">
        <v>543</v>
      </c>
      <c r="C36" s="149" t="s">
        <v>546</v>
      </c>
      <c r="D36" s="149" t="s">
        <v>11</v>
      </c>
      <c r="E36" s="151"/>
      <c r="F36" s="148"/>
      <c r="G36" s="147"/>
      <c r="H36" s="147"/>
      <c r="I36" s="147"/>
    </row>
    <row r="37" spans="1:9" ht="31.5" customHeight="1" x14ac:dyDescent="0.25">
      <c r="A37" s="122" t="s">
        <v>97</v>
      </c>
      <c r="B37" s="127" t="s">
        <v>94</v>
      </c>
      <c r="C37" s="121">
        <v>26452</v>
      </c>
      <c r="D37" s="121" t="s">
        <v>11</v>
      </c>
      <c r="E37" s="149"/>
      <c r="F37" s="260">
        <v>1588024.96</v>
      </c>
      <c r="G37" s="43">
        <v>1468265.43</v>
      </c>
      <c r="H37" s="43">
        <v>971800.79</v>
      </c>
      <c r="I37" s="123"/>
    </row>
    <row r="38" spans="1:9" ht="63" x14ac:dyDescent="0.25">
      <c r="A38" s="122">
        <v>2</v>
      </c>
      <c r="B38" s="17" t="s">
        <v>98</v>
      </c>
      <c r="C38" s="121">
        <v>26500</v>
      </c>
      <c r="D38" s="121" t="s">
        <v>11</v>
      </c>
      <c r="E38" s="149"/>
      <c r="F38" s="124"/>
      <c r="G38" s="123"/>
      <c r="H38" s="123"/>
      <c r="I38" s="123"/>
    </row>
    <row r="39" spans="1:9" ht="27" customHeight="1" x14ac:dyDescent="0.25">
      <c r="A39" s="122"/>
      <c r="B39" s="17" t="s">
        <v>99</v>
      </c>
      <c r="C39" s="121">
        <v>26510</v>
      </c>
      <c r="D39" s="17"/>
      <c r="E39" s="17"/>
      <c r="F39" s="124"/>
      <c r="G39" s="123"/>
      <c r="H39" s="123"/>
      <c r="I39" s="123"/>
    </row>
    <row r="40" spans="1:9" ht="63" x14ac:dyDescent="0.25">
      <c r="A40" s="122">
        <v>3</v>
      </c>
      <c r="B40" s="127" t="s">
        <v>100</v>
      </c>
      <c r="C40" s="121">
        <v>26600</v>
      </c>
      <c r="D40" s="121" t="s">
        <v>11</v>
      </c>
      <c r="E40" s="149"/>
      <c r="F40" s="43">
        <f>F41</f>
        <v>24371189.07</v>
      </c>
      <c r="G40" s="291">
        <f>G41</f>
        <v>23623269.43</v>
      </c>
      <c r="H40" s="43">
        <f>H41</f>
        <v>23044488.66</v>
      </c>
      <c r="I40" s="123"/>
    </row>
    <row r="41" spans="1:9" ht="27.75" customHeight="1" x14ac:dyDescent="0.25">
      <c r="A41" s="122"/>
      <c r="B41" s="17" t="s">
        <v>99</v>
      </c>
      <c r="C41" s="121">
        <v>26610</v>
      </c>
      <c r="D41" s="17"/>
      <c r="E41" s="17"/>
      <c r="F41" s="43">
        <f>F16</f>
        <v>24371189.07</v>
      </c>
      <c r="G41" s="43">
        <f>G16</f>
        <v>23623269.43</v>
      </c>
      <c r="H41" s="43">
        <f>H16</f>
        <v>23044488.66</v>
      </c>
      <c r="I41" s="123"/>
    </row>
    <row r="42" spans="1:9" ht="27.75" customHeight="1" x14ac:dyDescent="0.25">
      <c r="A42" s="155"/>
      <c r="B42" s="90"/>
      <c r="C42" s="67"/>
      <c r="D42" s="90"/>
      <c r="E42" s="90"/>
      <c r="F42" s="156"/>
      <c r="G42" s="156"/>
      <c r="H42" s="156"/>
      <c r="I42" s="156"/>
    </row>
    <row r="43" spans="1:9" ht="15.75" x14ac:dyDescent="0.25">
      <c r="A43" s="66"/>
      <c r="B43" s="66"/>
      <c r="C43" s="66"/>
      <c r="D43" s="66"/>
      <c r="E43" s="66"/>
      <c r="F43" s="66"/>
      <c r="G43" s="66"/>
      <c r="H43" s="66"/>
      <c r="I43" s="66"/>
    </row>
    <row r="44" spans="1:9" ht="15.75" x14ac:dyDescent="0.25">
      <c r="A44" s="66"/>
      <c r="B44" s="66"/>
      <c r="C44" s="66"/>
      <c r="D44" s="66"/>
      <c r="E44" s="66"/>
      <c r="F44" s="66"/>
      <c r="G44" s="66"/>
      <c r="H44" s="66"/>
      <c r="I44" s="66"/>
    </row>
    <row r="45" spans="1:9" ht="15.75" x14ac:dyDescent="0.25">
      <c r="A45" s="128" t="s">
        <v>609</v>
      </c>
      <c r="B45" s="129"/>
      <c r="C45" s="129"/>
      <c r="D45" s="129"/>
      <c r="E45" s="129"/>
      <c r="F45" s="129" t="s">
        <v>608</v>
      </c>
      <c r="G45" s="129"/>
      <c r="H45" s="66"/>
      <c r="I45" s="66"/>
    </row>
    <row r="46" spans="1:9" ht="15.75" x14ac:dyDescent="0.25">
      <c r="A46" s="128" t="s">
        <v>356</v>
      </c>
      <c r="B46" s="129"/>
      <c r="C46" s="129"/>
      <c r="D46" s="129"/>
      <c r="E46" s="129"/>
      <c r="F46" s="129"/>
      <c r="G46" s="128"/>
      <c r="H46" s="66"/>
      <c r="I46" s="66"/>
    </row>
    <row r="47" spans="1:9" ht="15.75" x14ac:dyDescent="0.25">
      <c r="A47" s="128"/>
      <c r="B47" s="129"/>
      <c r="C47" s="129"/>
      <c r="D47" s="129"/>
      <c r="E47" s="129"/>
      <c r="F47" s="129"/>
      <c r="G47" s="129"/>
      <c r="H47" s="66"/>
      <c r="I47" s="66"/>
    </row>
    <row r="48" spans="1:9" ht="15.75" x14ac:dyDescent="0.25">
      <c r="A48" s="128" t="s">
        <v>357</v>
      </c>
      <c r="B48" s="129"/>
      <c r="C48" s="129"/>
      <c r="D48" s="129"/>
      <c r="E48" s="129"/>
      <c r="F48" s="129" t="s">
        <v>581</v>
      </c>
      <c r="G48" s="129"/>
      <c r="H48" s="66"/>
      <c r="I48" s="66"/>
    </row>
    <row r="49" spans="1:9" ht="15.75" x14ac:dyDescent="0.25">
      <c r="A49" s="128" t="s">
        <v>358</v>
      </c>
      <c r="B49" s="129"/>
      <c r="C49" s="129"/>
      <c r="D49" s="129"/>
      <c r="E49" s="129"/>
      <c r="F49" s="129"/>
      <c r="G49" s="128"/>
      <c r="H49" s="66"/>
      <c r="I49" s="66"/>
    </row>
    <row r="50" spans="1:9" ht="15.75" x14ac:dyDescent="0.25">
      <c r="A50" s="128"/>
      <c r="B50" s="129"/>
      <c r="C50" s="129"/>
      <c r="D50" s="129"/>
      <c r="E50" s="129"/>
      <c r="F50" s="129"/>
      <c r="G50" s="129"/>
      <c r="H50" s="66"/>
      <c r="I50" s="66"/>
    </row>
    <row r="51" spans="1:9" ht="15.75" x14ac:dyDescent="0.25">
      <c r="A51" s="128" t="s">
        <v>359</v>
      </c>
      <c r="B51" s="129"/>
      <c r="C51" s="129" t="str">
        <f>F48</f>
        <v>Н.В. Домбровская</v>
      </c>
      <c r="D51" s="129"/>
      <c r="E51" s="129"/>
      <c r="F51" s="129"/>
      <c r="G51" s="129"/>
      <c r="H51" s="66"/>
      <c r="I51" s="66"/>
    </row>
    <row r="52" spans="1:9" ht="15.75" x14ac:dyDescent="0.25">
      <c r="A52" s="128"/>
      <c r="B52" s="129"/>
      <c r="C52" s="129"/>
      <c r="D52" s="129"/>
      <c r="E52" s="129"/>
      <c r="F52" s="129"/>
      <c r="G52" s="129"/>
      <c r="H52" s="66"/>
      <c r="I52" s="66"/>
    </row>
    <row r="53" spans="1:9" ht="15.75" x14ac:dyDescent="0.25">
      <c r="A53" s="128"/>
      <c r="B53" s="129"/>
      <c r="C53" s="129"/>
      <c r="D53" s="129"/>
      <c r="E53" s="129"/>
      <c r="F53" s="129"/>
      <c r="G53" s="129"/>
      <c r="H53" s="66"/>
      <c r="I53" s="66"/>
    </row>
    <row r="54" spans="1:9" ht="15.75" x14ac:dyDescent="0.25">
      <c r="A54" s="128" t="s">
        <v>360</v>
      </c>
      <c r="B54" s="130" t="s">
        <v>518</v>
      </c>
      <c r="C54" s="129"/>
      <c r="D54" s="129"/>
      <c r="E54" s="129"/>
      <c r="F54" s="129"/>
      <c r="G54" s="129"/>
      <c r="H54" s="66"/>
      <c r="I54" s="66"/>
    </row>
    <row r="55" spans="1:9" ht="15.75" x14ac:dyDescent="0.25">
      <c r="A55" s="128" t="s">
        <v>361</v>
      </c>
      <c r="B55" s="129"/>
      <c r="C55" s="129"/>
      <c r="D55" s="129"/>
      <c r="E55" s="129"/>
      <c r="F55" s="129"/>
      <c r="G55" s="129"/>
      <c r="H55" s="66"/>
      <c r="I55" s="66"/>
    </row>
    <row r="56" spans="1:9" ht="15.75" x14ac:dyDescent="0.25">
      <c r="A56" s="128"/>
      <c r="B56" s="129"/>
      <c r="C56" s="129"/>
      <c r="D56" s="129"/>
      <c r="E56" s="129"/>
      <c r="F56" s="129"/>
      <c r="G56" s="129"/>
      <c r="H56" s="66"/>
      <c r="I56" s="66"/>
    </row>
    <row r="57" spans="1:9" ht="15.75" x14ac:dyDescent="0.25">
      <c r="A57" s="128" t="s">
        <v>362</v>
      </c>
      <c r="B57" s="129"/>
      <c r="C57" s="129"/>
      <c r="D57" s="129"/>
      <c r="E57" s="129"/>
      <c r="F57" s="129"/>
      <c r="G57" s="129"/>
      <c r="H57" s="66"/>
      <c r="I57" s="66"/>
    </row>
    <row r="58" spans="1:9" ht="15.75" x14ac:dyDescent="0.25">
      <c r="A58" s="128" t="s">
        <v>363</v>
      </c>
      <c r="B58" s="129"/>
      <c r="C58" s="129"/>
      <c r="D58" s="129"/>
      <c r="E58" s="129"/>
      <c r="F58" s="129"/>
      <c r="G58" s="129"/>
      <c r="H58" s="66"/>
      <c r="I58" s="66"/>
    </row>
    <row r="59" spans="1:9" ht="15.75" x14ac:dyDescent="0.25">
      <c r="A59" s="128" t="s">
        <v>364</v>
      </c>
      <c r="B59" s="129"/>
      <c r="C59" s="129"/>
      <c r="D59" s="129"/>
      <c r="E59" s="129"/>
      <c r="F59" s="129"/>
      <c r="G59" s="129"/>
      <c r="H59" s="66"/>
      <c r="I59" s="66"/>
    </row>
    <row r="60" spans="1:9" ht="15.75" x14ac:dyDescent="0.25">
      <c r="A60" s="128" t="s">
        <v>363</v>
      </c>
      <c r="B60" s="129"/>
      <c r="C60" s="129"/>
      <c r="D60" s="129"/>
      <c r="E60" s="129"/>
      <c r="F60" s="129"/>
      <c r="G60" s="129"/>
      <c r="H60" s="66"/>
      <c r="I60" s="66"/>
    </row>
    <row r="61" spans="1:9" ht="15.75" x14ac:dyDescent="0.25">
      <c r="A61" s="128" t="s">
        <v>365</v>
      </c>
      <c r="B61" s="129"/>
      <c r="C61" s="129"/>
      <c r="D61" s="129"/>
      <c r="E61" s="129"/>
      <c r="F61" s="129"/>
      <c r="G61" s="129"/>
      <c r="H61" s="66"/>
      <c r="I61" s="66"/>
    </row>
    <row r="62" spans="1:9" ht="15.75" x14ac:dyDescent="0.25">
      <c r="A62" s="128" t="s">
        <v>366</v>
      </c>
      <c r="B62" s="129"/>
      <c r="C62" s="129"/>
      <c r="D62" s="129"/>
      <c r="E62" s="129"/>
      <c r="F62" s="129"/>
      <c r="G62" s="129"/>
      <c r="H62" s="66"/>
      <c r="I62" s="66"/>
    </row>
  </sheetData>
  <mergeCells count="74">
    <mergeCell ref="E34:E35"/>
    <mergeCell ref="A11:A13"/>
    <mergeCell ref="B14:B15"/>
    <mergeCell ref="A23:A25"/>
    <mergeCell ref="A27:A28"/>
    <mergeCell ref="A34:A36"/>
    <mergeCell ref="E2:E4"/>
    <mergeCell ref="E7:E8"/>
    <mergeCell ref="E11:E12"/>
    <mergeCell ref="E14:E15"/>
    <mergeCell ref="E17:E18"/>
    <mergeCell ref="I34:I35"/>
    <mergeCell ref="A30:A31"/>
    <mergeCell ref="F30:F31"/>
    <mergeCell ref="G30:G31"/>
    <mergeCell ref="A1:C1"/>
    <mergeCell ref="I30:I31"/>
    <mergeCell ref="C34:C35"/>
    <mergeCell ref="D34:D35"/>
    <mergeCell ref="F34:F35"/>
    <mergeCell ref="G34:G35"/>
    <mergeCell ref="H34:H35"/>
    <mergeCell ref="A19:A20"/>
    <mergeCell ref="C19:C20"/>
    <mergeCell ref="D19:D20"/>
    <mergeCell ref="F19:F20"/>
    <mergeCell ref="H30:H31"/>
    <mergeCell ref="I19:I20"/>
    <mergeCell ref="H23:H24"/>
    <mergeCell ref="I23:I24"/>
    <mergeCell ref="C30:C31"/>
    <mergeCell ref="D30:D31"/>
    <mergeCell ref="E19:E20"/>
    <mergeCell ref="E23:E24"/>
    <mergeCell ref="E30:E31"/>
    <mergeCell ref="C23:C24"/>
    <mergeCell ref="D23:D24"/>
    <mergeCell ref="F23:F24"/>
    <mergeCell ref="G23:G24"/>
    <mergeCell ref="I17:I18"/>
    <mergeCell ref="A14:A15"/>
    <mergeCell ref="C14:C15"/>
    <mergeCell ref="G19:G20"/>
    <mergeCell ref="H19:H20"/>
    <mergeCell ref="A17:A18"/>
    <mergeCell ref="C17:C18"/>
    <mergeCell ref="D17:D18"/>
    <mergeCell ref="F17:F18"/>
    <mergeCell ref="G17:G18"/>
    <mergeCell ref="H17:H18"/>
    <mergeCell ref="D14:D15"/>
    <mergeCell ref="F14:F15"/>
    <mergeCell ref="G14:G15"/>
    <mergeCell ref="H14:H15"/>
    <mergeCell ref="I14:I15"/>
    <mergeCell ref="F11:F12"/>
    <mergeCell ref="G11:G12"/>
    <mergeCell ref="F2:I2"/>
    <mergeCell ref="I3:I4"/>
    <mergeCell ref="H11:H12"/>
    <mergeCell ref="I11:I12"/>
    <mergeCell ref="F7:F8"/>
    <mergeCell ref="G7:G8"/>
    <mergeCell ref="H7:H8"/>
    <mergeCell ref="I7:I8"/>
    <mergeCell ref="A2:A4"/>
    <mergeCell ref="B2:B4"/>
    <mergeCell ref="C2:C4"/>
    <mergeCell ref="D2:D4"/>
    <mergeCell ref="D11:D12"/>
    <mergeCell ref="A7:A8"/>
    <mergeCell ref="C7:C8"/>
    <mergeCell ref="D7:D8"/>
    <mergeCell ref="C11:C12"/>
  </mergeCells>
  <phoneticPr fontId="15" type="noConversion"/>
  <hyperlinks>
    <hyperlink ref="B6" location="Par1331" tooltip="&lt;10&gt; Плановые показатели выплат на закупку товаров, работ, услуг по строке 26000 раздела 2 &quot;Сведения по выплатам на закупку товаров, работ, услуг&quot; Плана распределяются на выплаты по контрактам (договорам), заключенным (планируемым к заключению) в соответс" display="Par1331"/>
    <hyperlink ref="B12" r:id="rId1" tooltip="Федеральный закон от 05.04.2013 N 44-ФЗ (ред. от 27.06.2019) &quot;О контрактной системе в сфере закупок товаров, работ, услуг для обеспечения государственных и муниципальных нужд&quot; (с изм. и доп., вступ. в силу с 31.07.2019){КонсультантПлюс}" display="consultantplus://offline/ref=A700257297D7A859C030468B937B2DBD85E5EB9C656B2AC230D6E9DC28482863625EFFB5D1534D768A4F99306AV1B3I"/>
    <hyperlink ref="B20" r:id="rId2" tooltip="Федеральный закон от 05.04.2013 N 44-ФЗ (ред. от 27.06.2019) &quot;О контрактной системе в сфере закупок товаров, работ, услуг для обеспечения государственных и муниципальных нужд&quot; (с изм. и доп., вступ. в силу с 31.07.2019){КонсультантПлюс}" display="consultantplus://offline/ref=A700257297D7A859C030468B937B2DBD85E5EB9C656B2AC230D6E9DC28482863625EFFB5D1534D768A4F99306AV1B3I"/>
    <hyperlink ref="B22" r:id="rId3" tooltip="&quot;Бюджетный кодекс Российской Федерации&quot; от 31.07.1998 N 145-ФЗ (ред. от 02.08.2019) (с изм. и доп., вступ. в силу с 01.09.2019){КонсультантПлюс}" display="consultantplus://offline/ref=A700257297D7A859C030468B937B2DBD85E4EF9A61612AC230D6E9DC28482863705EA7BBD15F557DD700DF65661BC70C92EDF194103DVEB9I"/>
    <hyperlink ref="B24" r:id="rId4" tooltip="Федеральный закон от 05.04.2013 N 44-ФЗ (ред. от 27.06.2019) &quot;О контрактной системе в сфере закупок товаров, работ, услуг для обеспечения государственных и муниципальных нужд&quot; (с изм. и доп., вступ. в силу с 31.07.2019){КонсультантПлюс}" display="consultantplus://offline/ref=A700257297D7A859C030468B937B2DBD85E5EB9C656B2AC230D6E9DC28482863625EFFB5D1534D768A4F99306AV1B3I"/>
    <hyperlink ref="B27" location="Par1335" tooltip="&lt;14&gt; Указывается сумма закупок товаров, работ, услуг, осуществляемых в соответствии с Федеральным законом N 44-ФЗ." display="Par1335"/>
    <hyperlink ref="B31" r:id="rId5" tooltip="Федеральный закон от 05.04.2013 N 44-ФЗ (ред. от 27.06.2019) &quot;О контрактной системе в сфере закупок товаров, работ, услуг для обеспечения государственных и муниципальных нужд&quot; (с изм. и доп., вступ. в силу с 31.07.2019){КонсультантПлюс}" display="consultantplus://offline/ref=A700257297D7A859C030468B937B2DBD85E5EB9C656B2AC230D6E9DC28482863625EFFB5D1534D768A4F99306AV1B3I"/>
    <hyperlink ref="B32" r:id="rId6" tooltip="Федеральный закон от 18.07.2011 N 223-ФЗ (ред. от 01.05.2019) &quot;О закупках товаров, работ, услуг отдельными видами юридических лиц&quot;{КонсультантПлюс}" display="consultantplus://offline/ref=A700257297D7A859C030468B937B2DBD85E5EB9E60602AC230D6E9DC28482863625EFFB5D1534D768A4F99306AV1B3I"/>
    <hyperlink ref="B35" r:id="rId7" tooltip="Федеральный закон от 05.04.2013 N 44-ФЗ (ред. от 27.06.2019) &quot;О контрактной системе в сфере закупок товаров, работ, услуг для обеспечения государственных и муниципальных нужд&quot; (с изм. и доп., вступ. в силу с 31.07.2019){КонсультантПлюс}" display="consultantplus://offline/ref=A700257297D7A859C030468B937B2DBD85E5EB9C656B2AC230D6E9DC28482863625EFFB5D1534D768A4F99306AV1B3I"/>
    <hyperlink ref="B37" r:id="rId8" tooltip="Федеральный закон от 18.07.2011 N 223-ФЗ (ред. от 01.05.2019) &quot;О закупках товаров, работ, услуг отдельными видами юридических лиц&quot;{КонсультантПлюс}" display="consultantplus://offline/ref=A700257297D7A859C030468B937B2DBD85E5EB9E60602AC230D6E9DC28482863625EFFB5D1534D768A4F99306AV1B3I"/>
    <hyperlink ref="B40" r:id="rId9" tooltip="Федеральный закон от 18.07.2011 N 223-ФЗ (ред. от 01.05.2019) &quot;О закупках товаров, работ, услуг отдельными видами юридических лиц&quot;{КонсультантПлюс}" display="consultantplus://offline/ref=A700257297D7A859C030468B937B2DBD85E5EB9E60602AC230D6E9DC28482863625EFFB5D1534D768A4F99306AV1B3I"/>
  </hyperlinks>
  <pageMargins left="0.78740157480314965" right="0.39370078740157483" top="0.39370078740157483" bottom="0.39370078740157483" header="0.31496062992125984" footer="0.31496062992125984"/>
  <pageSetup paperSize="9" scale="52" orientation="portrait" r:id="rId1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N45"/>
  <sheetViews>
    <sheetView workbookViewId="0">
      <selection activeCell="A2" sqref="A2:H2"/>
    </sheetView>
  </sheetViews>
  <sheetFormatPr defaultRowHeight="12.75" x14ac:dyDescent="0.2"/>
  <cols>
    <col min="1" max="1" width="21.42578125" style="3" customWidth="1"/>
    <col min="2" max="2" width="9.140625" style="3"/>
    <col min="3" max="14" width="14" style="3" customWidth="1"/>
    <col min="15" max="16384" width="9.140625" style="3"/>
  </cols>
  <sheetData>
    <row r="2" spans="1:14" x14ac:dyDescent="0.2">
      <c r="A2" s="3" t="s">
        <v>219</v>
      </c>
    </row>
    <row r="4" spans="1:14" x14ac:dyDescent="0.2">
      <c r="A4" s="3" t="s">
        <v>220</v>
      </c>
    </row>
    <row r="5" spans="1:14" ht="49.5" customHeight="1" x14ac:dyDescent="0.2">
      <c r="A5" s="388" t="s">
        <v>215</v>
      </c>
      <c r="B5" s="388" t="s">
        <v>1</v>
      </c>
      <c r="C5" s="388" t="s">
        <v>216</v>
      </c>
      <c r="D5" s="388"/>
      <c r="E5" s="388"/>
      <c r="F5" s="388" t="s">
        <v>217</v>
      </c>
      <c r="G5" s="388"/>
      <c r="H5" s="388"/>
      <c r="I5" s="388" t="s">
        <v>218</v>
      </c>
      <c r="J5" s="388"/>
      <c r="K5" s="388"/>
      <c r="L5" s="388" t="s">
        <v>113</v>
      </c>
      <c r="M5" s="388"/>
      <c r="N5" s="388"/>
    </row>
    <row r="6" spans="1:14" ht="25.5" customHeight="1" x14ac:dyDescent="0.2">
      <c r="A6" s="388"/>
      <c r="B6" s="388"/>
      <c r="C6" s="16" t="s">
        <v>417</v>
      </c>
      <c r="D6" s="16" t="s">
        <v>418</v>
      </c>
      <c r="E6" s="16" t="s">
        <v>548</v>
      </c>
      <c r="F6" s="16" t="s">
        <v>417</v>
      </c>
      <c r="G6" s="16" t="s">
        <v>418</v>
      </c>
      <c r="H6" s="16" t="s">
        <v>548</v>
      </c>
      <c r="I6" s="16" t="s">
        <v>417</v>
      </c>
      <c r="J6" s="16" t="s">
        <v>418</v>
      </c>
      <c r="K6" s="16" t="s">
        <v>548</v>
      </c>
      <c r="L6" s="16" t="s">
        <v>417</v>
      </c>
      <c r="M6" s="16" t="s">
        <v>418</v>
      </c>
      <c r="N6" s="16" t="s">
        <v>548</v>
      </c>
    </row>
    <row r="7" spans="1:14" ht="46.5" customHeight="1" x14ac:dyDescent="0.2">
      <c r="A7" s="388"/>
      <c r="B7" s="388"/>
      <c r="C7" s="2" t="s">
        <v>73</v>
      </c>
      <c r="D7" s="2" t="s">
        <v>74</v>
      </c>
      <c r="E7" s="2" t="s">
        <v>75</v>
      </c>
      <c r="F7" s="2" t="s">
        <v>73</v>
      </c>
      <c r="G7" s="2" t="s">
        <v>74</v>
      </c>
      <c r="H7" s="2" t="s">
        <v>75</v>
      </c>
      <c r="I7" s="2" t="s">
        <v>73</v>
      </c>
      <c r="J7" s="2" t="s">
        <v>74</v>
      </c>
      <c r="K7" s="2" t="s">
        <v>75</v>
      </c>
      <c r="L7" s="2" t="s">
        <v>73</v>
      </c>
      <c r="M7" s="2" t="s">
        <v>74</v>
      </c>
      <c r="N7" s="2" t="s">
        <v>75</v>
      </c>
    </row>
    <row r="8" spans="1:14" ht="22.5" customHeight="1" x14ac:dyDescent="0.2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</row>
    <row r="9" spans="1:14" ht="24" customHeight="1" x14ac:dyDescent="0.2">
      <c r="A9" s="6"/>
      <c r="B9" s="2">
        <v>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22.5" customHeight="1" x14ac:dyDescent="0.2">
      <c r="A10" s="6" t="s">
        <v>133</v>
      </c>
      <c r="B10" s="2">
        <v>9000</v>
      </c>
      <c r="C10" s="2" t="s">
        <v>11</v>
      </c>
      <c r="D10" s="2" t="s">
        <v>11</v>
      </c>
      <c r="E10" s="2" t="s">
        <v>11</v>
      </c>
      <c r="F10" s="2" t="s">
        <v>11</v>
      </c>
      <c r="G10" s="2" t="s">
        <v>11</v>
      </c>
      <c r="H10" s="2" t="s">
        <v>11</v>
      </c>
      <c r="I10" s="2" t="s">
        <v>11</v>
      </c>
      <c r="J10" s="2" t="s">
        <v>11</v>
      </c>
      <c r="K10" s="2" t="s">
        <v>11</v>
      </c>
      <c r="L10" s="6"/>
      <c r="M10" s="6"/>
      <c r="N10" s="6"/>
    </row>
    <row r="45" spans="8:8" x14ac:dyDescent="0.2">
      <c r="H45" s="36"/>
    </row>
  </sheetData>
  <mergeCells count="6">
    <mergeCell ref="L5:N5"/>
    <mergeCell ref="A5:A7"/>
    <mergeCell ref="B5:B7"/>
    <mergeCell ref="C5:E5"/>
    <mergeCell ref="F5:H5"/>
    <mergeCell ref="I5:K5"/>
  </mergeCells>
  <phoneticPr fontId="15" type="noConversion"/>
  <pageMargins left="0.7" right="0.7" top="0.75" bottom="0.75" header="0.3" footer="0.3"/>
  <pageSetup paperSize="9" scale="6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9"/>
  <sheetViews>
    <sheetView workbookViewId="0">
      <selection activeCell="F16" sqref="F16"/>
    </sheetView>
  </sheetViews>
  <sheetFormatPr defaultRowHeight="12.75" x14ac:dyDescent="0.2"/>
  <cols>
    <col min="1" max="1" width="30.28515625" style="3" customWidth="1"/>
    <col min="2" max="2" width="9.140625" style="3"/>
    <col min="3" max="4" width="13.7109375" style="3" customWidth="1"/>
    <col min="5" max="5" width="14" style="3" customWidth="1"/>
    <col min="6" max="14" width="13.7109375" style="3" customWidth="1"/>
    <col min="15" max="16384" width="9.140625" style="3"/>
  </cols>
  <sheetData>
    <row r="1" spans="1:14" x14ac:dyDescent="0.2">
      <c r="A1" s="3" t="s">
        <v>219</v>
      </c>
    </row>
    <row r="2" spans="1:14" ht="20.25" customHeight="1" x14ac:dyDescent="0.25">
      <c r="A2" s="76" t="s">
        <v>466</v>
      </c>
      <c r="B2" s="76"/>
      <c r="C2" s="76"/>
      <c r="D2" s="76"/>
      <c r="E2" s="76"/>
      <c r="F2" s="66"/>
      <c r="G2" s="66"/>
      <c r="H2" s="66"/>
      <c r="I2" s="66"/>
      <c r="J2" s="66"/>
      <c r="K2" s="66"/>
      <c r="L2" s="66"/>
      <c r="M2" s="66"/>
      <c r="N2" s="66"/>
    </row>
    <row r="3" spans="1:14" ht="49.5" customHeight="1" x14ac:dyDescent="0.2">
      <c r="A3" s="373" t="s">
        <v>215</v>
      </c>
      <c r="B3" s="373" t="s">
        <v>1</v>
      </c>
      <c r="C3" s="373" t="s">
        <v>221</v>
      </c>
      <c r="D3" s="373"/>
      <c r="E3" s="373"/>
      <c r="F3" s="373" t="s">
        <v>222</v>
      </c>
      <c r="G3" s="373"/>
      <c r="H3" s="373"/>
      <c r="I3" s="373" t="s">
        <v>223</v>
      </c>
      <c r="J3" s="373"/>
      <c r="K3" s="373"/>
      <c r="L3" s="373" t="s">
        <v>113</v>
      </c>
      <c r="M3" s="373"/>
      <c r="N3" s="373"/>
    </row>
    <row r="4" spans="1:14" ht="15.75" x14ac:dyDescent="0.2">
      <c r="A4" s="373"/>
      <c r="B4" s="373"/>
      <c r="C4" s="121" t="s">
        <v>418</v>
      </c>
      <c r="D4" s="121" t="s">
        <v>548</v>
      </c>
      <c r="E4" s="121" t="s">
        <v>583</v>
      </c>
      <c r="F4" s="292" t="s">
        <v>418</v>
      </c>
      <c r="G4" s="292" t="s">
        <v>548</v>
      </c>
      <c r="H4" s="292" t="s">
        <v>583</v>
      </c>
      <c r="I4" s="292" t="s">
        <v>418</v>
      </c>
      <c r="J4" s="292" t="s">
        <v>548</v>
      </c>
      <c r="K4" s="292" t="s">
        <v>583</v>
      </c>
      <c r="L4" s="292" t="s">
        <v>418</v>
      </c>
      <c r="M4" s="292" t="s">
        <v>548</v>
      </c>
      <c r="N4" s="292" t="s">
        <v>583</v>
      </c>
    </row>
    <row r="5" spans="1:14" ht="47.25" x14ac:dyDescent="0.2">
      <c r="A5" s="373"/>
      <c r="B5" s="373"/>
      <c r="C5" s="121" t="s">
        <v>73</v>
      </c>
      <c r="D5" s="121" t="s">
        <v>74</v>
      </c>
      <c r="E5" s="121" t="s">
        <v>75</v>
      </c>
      <c r="F5" s="121" t="s">
        <v>73</v>
      </c>
      <c r="G5" s="121" t="s">
        <v>74</v>
      </c>
      <c r="H5" s="121" t="s">
        <v>75</v>
      </c>
      <c r="I5" s="121" t="s">
        <v>73</v>
      </c>
      <c r="J5" s="121" t="s">
        <v>74</v>
      </c>
      <c r="K5" s="121" t="s">
        <v>75</v>
      </c>
      <c r="L5" s="121" t="s">
        <v>73</v>
      </c>
      <c r="M5" s="121" t="s">
        <v>74</v>
      </c>
      <c r="N5" s="121" t="s">
        <v>75</v>
      </c>
    </row>
    <row r="6" spans="1:14" ht="15.75" x14ac:dyDescent="0.2">
      <c r="A6" s="121">
        <v>1</v>
      </c>
      <c r="B6" s="121">
        <v>2</v>
      </c>
      <c r="C6" s="121">
        <v>3</v>
      </c>
      <c r="D6" s="121">
        <v>4</v>
      </c>
      <c r="E6" s="121">
        <v>5</v>
      </c>
      <c r="F6" s="121">
        <v>6</v>
      </c>
      <c r="G6" s="121">
        <v>7</v>
      </c>
      <c r="H6" s="121">
        <v>8</v>
      </c>
      <c r="I6" s="121">
        <v>9</v>
      </c>
      <c r="J6" s="121">
        <v>10</v>
      </c>
      <c r="K6" s="121">
        <v>11</v>
      </c>
      <c r="L6" s="121">
        <v>12</v>
      </c>
      <c r="M6" s="121">
        <v>13</v>
      </c>
      <c r="N6" s="121">
        <v>14</v>
      </c>
    </row>
    <row r="7" spans="1:14" ht="53.25" customHeight="1" x14ac:dyDescent="0.2">
      <c r="A7" s="17" t="s">
        <v>467</v>
      </c>
      <c r="B7" s="121">
        <v>1</v>
      </c>
      <c r="C7" s="17">
        <v>3</v>
      </c>
      <c r="D7" s="17">
        <v>3</v>
      </c>
      <c r="E7" s="17">
        <v>3</v>
      </c>
      <c r="F7" s="17">
        <v>12</v>
      </c>
      <c r="G7" s="17">
        <v>12</v>
      </c>
      <c r="H7" s="17">
        <v>12</v>
      </c>
      <c r="I7" s="17">
        <v>65</v>
      </c>
      <c r="J7" s="17">
        <v>65</v>
      </c>
      <c r="K7" s="17">
        <v>65</v>
      </c>
      <c r="L7" s="131">
        <f>E7*F7*I7</f>
        <v>2340</v>
      </c>
      <c r="M7" s="131">
        <f>D7*G7*J7</f>
        <v>2340</v>
      </c>
      <c r="N7" s="131">
        <f>K7*E7*H7</f>
        <v>2340</v>
      </c>
    </row>
    <row r="8" spans="1:14" ht="54.75" customHeight="1" x14ac:dyDescent="0.2">
      <c r="A8" s="17" t="s">
        <v>468</v>
      </c>
      <c r="B8" s="121"/>
      <c r="C8" s="17">
        <v>3</v>
      </c>
      <c r="D8" s="17">
        <v>3</v>
      </c>
      <c r="E8" s="17">
        <v>3</v>
      </c>
      <c r="F8" s="17">
        <v>12</v>
      </c>
      <c r="G8" s="17">
        <v>12</v>
      </c>
      <c r="H8" s="17">
        <v>12</v>
      </c>
      <c r="I8" s="17">
        <v>65</v>
      </c>
      <c r="J8" s="17">
        <v>65</v>
      </c>
      <c r="K8" s="17">
        <v>65</v>
      </c>
      <c r="L8" s="131">
        <f>E8*F8*I8</f>
        <v>2340</v>
      </c>
      <c r="M8" s="131">
        <f>D8*G8*J8</f>
        <v>2340</v>
      </c>
      <c r="N8" s="131">
        <f>K8*E8*H8</f>
        <v>2340</v>
      </c>
    </row>
    <row r="9" spans="1:14" ht="25.5" customHeight="1" x14ac:dyDescent="0.2">
      <c r="A9" s="17" t="s">
        <v>133</v>
      </c>
      <c r="B9" s="121">
        <v>9000</v>
      </c>
      <c r="C9" s="121" t="s">
        <v>11</v>
      </c>
      <c r="D9" s="121" t="s">
        <v>11</v>
      </c>
      <c r="E9" s="121" t="s">
        <v>11</v>
      </c>
      <c r="F9" s="121" t="s">
        <v>11</v>
      </c>
      <c r="G9" s="121" t="s">
        <v>11</v>
      </c>
      <c r="H9" s="121" t="s">
        <v>11</v>
      </c>
      <c r="I9" s="121" t="s">
        <v>11</v>
      </c>
      <c r="J9" s="121" t="s">
        <v>11</v>
      </c>
      <c r="K9" s="121" t="s">
        <v>11</v>
      </c>
      <c r="L9" s="240">
        <f>L7+L8</f>
        <v>4680</v>
      </c>
      <c r="M9" s="240">
        <f>M7+M8</f>
        <v>4680</v>
      </c>
      <c r="N9" s="240">
        <f>N7+N8</f>
        <v>4680</v>
      </c>
    </row>
  </sheetData>
  <mergeCells count="6">
    <mergeCell ref="L3:N3"/>
    <mergeCell ref="A3:A5"/>
    <mergeCell ref="B3:B5"/>
    <mergeCell ref="C3:E3"/>
    <mergeCell ref="F3:H3"/>
    <mergeCell ref="I3:K3"/>
  </mergeCells>
  <phoneticPr fontId="15" type="noConversion"/>
  <pageMargins left="0.7" right="0.7" top="0.75" bottom="0.75" header="0.3" footer="0.3"/>
  <pageSetup paperSize="9" scale="6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7"/>
  <sheetViews>
    <sheetView workbookViewId="0">
      <selection activeCell="G6" sqref="G6"/>
    </sheetView>
  </sheetViews>
  <sheetFormatPr defaultRowHeight="12.75" x14ac:dyDescent="0.2"/>
  <cols>
    <col min="1" max="1" width="21.28515625" style="3" customWidth="1"/>
    <col min="2" max="2" width="9.140625" style="3"/>
    <col min="3" max="6" width="13.85546875" style="3" customWidth="1"/>
    <col min="7" max="7" width="53" style="3" customWidth="1"/>
    <col min="8" max="11" width="13.85546875" style="3" customWidth="1"/>
    <col min="12" max="16384" width="9.140625" style="3"/>
  </cols>
  <sheetData>
    <row r="1" spans="1:11" ht="25.5" customHeight="1" x14ac:dyDescent="0.3">
      <c r="A1" s="75" t="s">
        <v>227</v>
      </c>
      <c r="B1" s="75"/>
      <c r="C1" s="75"/>
      <c r="D1" s="75"/>
      <c r="E1" s="75"/>
      <c r="F1" s="75"/>
      <c r="G1" s="75"/>
      <c r="H1" s="133" t="s">
        <v>503</v>
      </c>
      <c r="I1" s="133"/>
      <c r="J1" s="133"/>
      <c r="K1" s="75"/>
    </row>
    <row r="2" spans="1:11" ht="33" customHeight="1" x14ac:dyDescent="0.2">
      <c r="A2" s="373" t="s">
        <v>0</v>
      </c>
      <c r="B2" s="373" t="s">
        <v>1</v>
      </c>
      <c r="C2" s="373" t="s">
        <v>224</v>
      </c>
      <c r="D2" s="373"/>
      <c r="E2" s="373"/>
      <c r="F2" s="373" t="s">
        <v>225</v>
      </c>
      <c r="G2" s="373"/>
      <c r="H2" s="373"/>
      <c r="I2" s="373" t="s">
        <v>226</v>
      </c>
      <c r="J2" s="373"/>
      <c r="K2" s="373"/>
    </row>
    <row r="3" spans="1:11" ht="18" customHeight="1" x14ac:dyDescent="0.2">
      <c r="A3" s="373"/>
      <c r="B3" s="373"/>
      <c r="C3" s="121" t="s">
        <v>418</v>
      </c>
      <c r="D3" s="121" t="s">
        <v>548</v>
      </c>
      <c r="E3" s="121" t="s">
        <v>583</v>
      </c>
      <c r="F3" s="121" t="s">
        <v>418</v>
      </c>
      <c r="G3" s="121" t="s">
        <v>548</v>
      </c>
      <c r="H3" s="121" t="s">
        <v>583</v>
      </c>
      <c r="I3" s="121" t="s">
        <v>418</v>
      </c>
      <c r="J3" s="121" t="s">
        <v>548</v>
      </c>
      <c r="K3" s="121" t="s">
        <v>583</v>
      </c>
    </row>
    <row r="4" spans="1:11" ht="82.5" customHeight="1" x14ac:dyDescent="0.2">
      <c r="A4" s="373"/>
      <c r="B4" s="373"/>
      <c r="C4" s="121" t="s">
        <v>73</v>
      </c>
      <c r="D4" s="121" t="s">
        <v>74</v>
      </c>
      <c r="E4" s="121" t="s">
        <v>75</v>
      </c>
      <c r="F4" s="121" t="s">
        <v>73</v>
      </c>
      <c r="G4" s="121" t="s">
        <v>74</v>
      </c>
      <c r="H4" s="121" t="s">
        <v>75</v>
      </c>
      <c r="I4" s="121" t="s">
        <v>73</v>
      </c>
      <c r="J4" s="121" t="s">
        <v>74</v>
      </c>
      <c r="K4" s="121" t="s">
        <v>75</v>
      </c>
    </row>
    <row r="5" spans="1:11" ht="26.25" customHeight="1" x14ac:dyDescent="0.2">
      <c r="A5" s="125">
        <v>1</v>
      </c>
      <c r="B5" s="125">
        <v>2</v>
      </c>
      <c r="C5" s="125">
        <v>3</v>
      </c>
      <c r="D5" s="125">
        <v>4</v>
      </c>
      <c r="E5" s="125">
        <v>5</v>
      </c>
      <c r="F5" s="125">
        <v>6</v>
      </c>
      <c r="G5" s="125">
        <v>7</v>
      </c>
      <c r="H5" s="125">
        <v>8</v>
      </c>
      <c r="I5" s="125">
        <v>9</v>
      </c>
      <c r="J5" s="125">
        <v>10</v>
      </c>
      <c r="K5" s="125">
        <v>11</v>
      </c>
    </row>
    <row r="6" spans="1:11" ht="93.75" customHeight="1" x14ac:dyDescent="0.2">
      <c r="A6" s="72" t="s">
        <v>506</v>
      </c>
      <c r="B6" s="125">
        <v>1</v>
      </c>
      <c r="C6" s="74">
        <f>I6/G6</f>
        <v>1179.7222222222222</v>
      </c>
      <c r="D6" s="74">
        <f t="shared" ref="D6" si="0">J6/H6</f>
        <v>1179.7222222222222</v>
      </c>
      <c r="E6" s="74">
        <v>1179.72</v>
      </c>
      <c r="F6" s="125">
        <v>36</v>
      </c>
      <c r="G6" s="125">
        <v>36</v>
      </c>
      <c r="H6" s="125">
        <v>36</v>
      </c>
      <c r="I6" s="74">
        <v>42470</v>
      </c>
      <c r="J6" s="74">
        <v>42470</v>
      </c>
      <c r="K6" s="74">
        <v>42470</v>
      </c>
    </row>
    <row r="7" spans="1:11" ht="28.5" customHeight="1" x14ac:dyDescent="0.2">
      <c r="A7" s="72" t="s">
        <v>133</v>
      </c>
      <c r="B7" s="125">
        <v>9000</v>
      </c>
      <c r="C7" s="125" t="s">
        <v>11</v>
      </c>
      <c r="D7" s="125" t="s">
        <v>11</v>
      </c>
      <c r="E7" s="125" t="s">
        <v>11</v>
      </c>
      <c r="F7" s="125" t="s">
        <v>11</v>
      </c>
      <c r="G7" s="125" t="s">
        <v>11</v>
      </c>
      <c r="H7" s="125" t="s">
        <v>11</v>
      </c>
      <c r="I7" s="202">
        <v>42470</v>
      </c>
      <c r="J7" s="202">
        <f>J6</f>
        <v>42470</v>
      </c>
      <c r="K7" s="202">
        <f>K6</f>
        <v>42470</v>
      </c>
    </row>
  </sheetData>
  <mergeCells count="5">
    <mergeCell ref="I2:K2"/>
    <mergeCell ref="A2:A4"/>
    <mergeCell ref="B2:B4"/>
    <mergeCell ref="C2:E2"/>
    <mergeCell ref="F2:H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8"/>
  <sheetViews>
    <sheetView workbookViewId="0">
      <selection activeCell="J8" sqref="J8"/>
    </sheetView>
  </sheetViews>
  <sheetFormatPr defaultRowHeight="12.75" x14ac:dyDescent="0.2"/>
  <cols>
    <col min="1" max="1" width="24.85546875" style="3" customWidth="1"/>
    <col min="2" max="2" width="9.140625" style="3"/>
    <col min="3" max="5" width="14.140625" style="3" customWidth="1"/>
    <col min="6" max="6" width="10.7109375" style="3" customWidth="1"/>
    <col min="7" max="7" width="12.140625" style="3" customWidth="1"/>
    <col min="8" max="8" width="11.28515625" style="3" customWidth="1"/>
    <col min="9" max="9" width="15.85546875" style="3" customWidth="1"/>
    <col min="10" max="10" width="18.5703125" style="3" customWidth="1"/>
    <col min="11" max="11" width="14.140625" style="3" customWidth="1"/>
    <col min="12" max="16384" width="9.140625" style="3"/>
  </cols>
  <sheetData>
    <row r="1" spans="1:16" ht="15.75" x14ac:dyDescent="0.25">
      <c r="A1" s="1" t="s">
        <v>231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6"/>
      <c r="O1" s="66"/>
      <c r="P1" s="66"/>
    </row>
    <row r="2" spans="1:16" ht="15.75" x14ac:dyDescent="0.25">
      <c r="A2" s="132" t="s">
        <v>434</v>
      </c>
      <c r="B2" s="13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66"/>
      <c r="O2" s="66"/>
      <c r="P2" s="66"/>
    </row>
    <row r="3" spans="1:16" ht="49.5" customHeight="1" x14ac:dyDescent="0.2">
      <c r="A3" s="373" t="s">
        <v>215</v>
      </c>
      <c r="B3" s="373" t="s">
        <v>1</v>
      </c>
      <c r="C3" s="373" t="s">
        <v>228</v>
      </c>
      <c r="D3" s="373"/>
      <c r="E3" s="373"/>
      <c r="F3" s="373" t="s">
        <v>229</v>
      </c>
      <c r="G3" s="373"/>
      <c r="H3" s="373"/>
      <c r="I3" s="373" t="s">
        <v>230</v>
      </c>
      <c r="J3" s="373"/>
      <c r="K3" s="373"/>
    </row>
    <row r="4" spans="1:16" ht="20.25" customHeight="1" x14ac:dyDescent="0.2">
      <c r="A4" s="373"/>
      <c r="B4" s="373"/>
      <c r="C4" s="121" t="s">
        <v>418</v>
      </c>
      <c r="D4" s="121" t="s">
        <v>548</v>
      </c>
      <c r="E4" s="121" t="s">
        <v>583</v>
      </c>
      <c r="F4" s="292" t="s">
        <v>418</v>
      </c>
      <c r="G4" s="292" t="s">
        <v>548</v>
      </c>
      <c r="H4" s="292" t="s">
        <v>583</v>
      </c>
      <c r="I4" s="292" t="s">
        <v>418</v>
      </c>
      <c r="J4" s="292" t="s">
        <v>548</v>
      </c>
      <c r="K4" s="292" t="s">
        <v>583</v>
      </c>
    </row>
    <row r="5" spans="1:16" ht="61.5" customHeight="1" x14ac:dyDescent="0.2">
      <c r="A5" s="373"/>
      <c r="B5" s="373"/>
      <c r="C5" s="121" t="s">
        <v>73</v>
      </c>
      <c r="D5" s="121" t="s">
        <v>74</v>
      </c>
      <c r="E5" s="121" t="s">
        <v>75</v>
      </c>
      <c r="F5" s="121" t="s">
        <v>73</v>
      </c>
      <c r="G5" s="121" t="s">
        <v>74</v>
      </c>
      <c r="H5" s="121" t="s">
        <v>75</v>
      </c>
      <c r="I5" s="121" t="s">
        <v>73</v>
      </c>
      <c r="J5" s="121" t="s">
        <v>74</v>
      </c>
      <c r="K5" s="121" t="s">
        <v>75</v>
      </c>
    </row>
    <row r="6" spans="1:16" ht="15.75" x14ac:dyDescent="0.2">
      <c r="A6" s="121">
        <v>1</v>
      </c>
      <c r="B6" s="121">
        <v>2</v>
      </c>
      <c r="C6" s="121">
        <v>3</v>
      </c>
      <c r="D6" s="121">
        <v>4</v>
      </c>
      <c r="E6" s="121">
        <v>5</v>
      </c>
      <c r="F6" s="121">
        <v>6</v>
      </c>
      <c r="G6" s="121">
        <v>7</v>
      </c>
      <c r="H6" s="121">
        <v>8</v>
      </c>
      <c r="I6" s="121">
        <v>9</v>
      </c>
      <c r="J6" s="121">
        <v>10</v>
      </c>
      <c r="K6" s="121">
        <v>11</v>
      </c>
    </row>
    <row r="7" spans="1:16" ht="32.25" customHeight="1" x14ac:dyDescent="0.2">
      <c r="A7" s="72" t="s">
        <v>315</v>
      </c>
      <c r="B7" s="125">
        <v>1</v>
      </c>
      <c r="C7" s="293">
        <v>10000</v>
      </c>
      <c r="D7" s="293">
        <v>10000</v>
      </c>
      <c r="E7" s="293">
        <v>10000</v>
      </c>
      <c r="F7" s="74"/>
      <c r="G7" s="74"/>
      <c r="H7" s="74"/>
      <c r="I7" s="293">
        <v>10000</v>
      </c>
      <c r="J7" s="293">
        <v>10000</v>
      </c>
      <c r="K7" s="293">
        <v>10000</v>
      </c>
    </row>
    <row r="8" spans="1:16" ht="27.75" customHeight="1" x14ac:dyDescent="0.2">
      <c r="A8" s="72" t="s">
        <v>133</v>
      </c>
      <c r="B8" s="125">
        <v>9000</v>
      </c>
      <c r="C8" s="73" t="s">
        <v>11</v>
      </c>
      <c r="D8" s="73" t="s">
        <v>11</v>
      </c>
      <c r="E8" s="73" t="s">
        <v>11</v>
      </c>
      <c r="F8" s="73" t="s">
        <v>11</v>
      </c>
      <c r="G8" s="73" t="s">
        <v>11</v>
      </c>
      <c r="H8" s="73" t="s">
        <v>11</v>
      </c>
      <c r="I8" s="198">
        <f>I7</f>
        <v>10000</v>
      </c>
      <c r="J8" s="198">
        <f>J7</f>
        <v>10000</v>
      </c>
      <c r="K8" s="198">
        <f>K7</f>
        <v>10000</v>
      </c>
    </row>
  </sheetData>
  <mergeCells count="5">
    <mergeCell ref="I3:K3"/>
    <mergeCell ref="A3:A5"/>
    <mergeCell ref="B3:B5"/>
    <mergeCell ref="C3:E3"/>
    <mergeCell ref="F3:H3"/>
  </mergeCells>
  <phoneticPr fontId="15" type="noConversion"/>
  <pageMargins left="0.7" right="0.7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0"/>
  <sheetViews>
    <sheetView workbookViewId="0">
      <selection activeCell="R43" sqref="R43"/>
    </sheetView>
  </sheetViews>
  <sheetFormatPr defaultRowHeight="12.75" x14ac:dyDescent="0.2"/>
  <cols>
    <col min="1" max="1" width="19.85546875" style="3" customWidth="1"/>
    <col min="2" max="2" width="9.140625" style="3"/>
    <col min="3" max="11" width="15.7109375" style="3" customWidth="1"/>
    <col min="12" max="16384" width="9.140625" style="3"/>
  </cols>
  <sheetData>
    <row r="1" spans="1:11" x14ac:dyDescent="0.2">
      <c r="A1" s="3" t="s">
        <v>232</v>
      </c>
    </row>
    <row r="3" spans="1:11" ht="33" customHeight="1" x14ac:dyDescent="0.2">
      <c r="A3" s="388" t="s">
        <v>215</v>
      </c>
      <c r="B3" s="388" t="s">
        <v>1</v>
      </c>
      <c r="C3" s="388" t="s">
        <v>224</v>
      </c>
      <c r="D3" s="388"/>
      <c r="E3" s="388"/>
      <c r="F3" s="388" t="s">
        <v>225</v>
      </c>
      <c r="G3" s="388"/>
      <c r="H3" s="388"/>
      <c r="I3" s="388" t="s">
        <v>226</v>
      </c>
      <c r="J3" s="388"/>
      <c r="K3" s="388"/>
    </row>
    <row r="4" spans="1:11" x14ac:dyDescent="0.2">
      <c r="A4" s="388"/>
      <c r="B4" s="388"/>
      <c r="C4" s="16" t="s">
        <v>417</v>
      </c>
      <c r="D4" s="16" t="s">
        <v>418</v>
      </c>
      <c r="E4" s="16" t="s">
        <v>548</v>
      </c>
      <c r="F4" s="16" t="s">
        <v>417</v>
      </c>
      <c r="G4" s="16" t="s">
        <v>418</v>
      </c>
      <c r="H4" s="16" t="s">
        <v>548</v>
      </c>
      <c r="I4" s="16" t="s">
        <v>417</v>
      </c>
      <c r="J4" s="16" t="s">
        <v>418</v>
      </c>
      <c r="K4" s="16" t="s">
        <v>548</v>
      </c>
    </row>
    <row r="5" spans="1:11" ht="38.25" x14ac:dyDescent="0.2">
      <c r="A5" s="388"/>
      <c r="B5" s="388"/>
      <c r="C5" s="2" t="s">
        <v>73</v>
      </c>
      <c r="D5" s="2" t="s">
        <v>74</v>
      </c>
      <c r="E5" s="2" t="s">
        <v>75</v>
      </c>
      <c r="F5" s="2" t="s">
        <v>73</v>
      </c>
      <c r="G5" s="2" t="s">
        <v>74</v>
      </c>
      <c r="H5" s="2" t="s">
        <v>75</v>
      </c>
      <c r="I5" s="2" t="s">
        <v>73</v>
      </c>
      <c r="J5" s="2" t="s">
        <v>74</v>
      </c>
      <c r="K5" s="2" t="s">
        <v>75</v>
      </c>
    </row>
    <row r="6" spans="1:11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 x14ac:dyDescent="0.2">
      <c r="A7" s="6"/>
      <c r="B7" s="2">
        <v>1</v>
      </c>
      <c r="C7" s="6"/>
      <c r="D7" s="6"/>
      <c r="E7" s="6"/>
      <c r="F7" s="6"/>
      <c r="G7" s="6"/>
      <c r="H7" s="6"/>
      <c r="I7" s="6"/>
      <c r="J7" s="6"/>
      <c r="K7" s="6"/>
    </row>
    <row r="8" spans="1:11" x14ac:dyDescent="0.2">
      <c r="A8" s="6"/>
      <c r="B8" s="2">
        <v>2</v>
      </c>
      <c r="C8" s="6"/>
      <c r="D8" s="6"/>
      <c r="E8" s="6"/>
      <c r="F8" s="6"/>
      <c r="G8" s="6"/>
      <c r="H8" s="6"/>
      <c r="I8" s="6"/>
      <c r="J8" s="6"/>
      <c r="K8" s="6"/>
    </row>
    <row r="9" spans="1:1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2">
      <c r="A10" s="6" t="s">
        <v>133</v>
      </c>
      <c r="B10" s="2">
        <v>9000</v>
      </c>
      <c r="C10" s="2" t="s">
        <v>11</v>
      </c>
      <c r="D10" s="2" t="s">
        <v>11</v>
      </c>
      <c r="E10" s="2" t="s">
        <v>11</v>
      </c>
      <c r="F10" s="2" t="s">
        <v>11</v>
      </c>
      <c r="G10" s="2" t="s">
        <v>11</v>
      </c>
      <c r="H10" s="2" t="s">
        <v>11</v>
      </c>
      <c r="I10" s="6"/>
      <c r="J10" s="6"/>
      <c r="K10" s="6"/>
    </row>
  </sheetData>
  <mergeCells count="5">
    <mergeCell ref="I3:K3"/>
    <mergeCell ref="A3:A5"/>
    <mergeCell ref="B3:B5"/>
    <mergeCell ref="C3:E3"/>
    <mergeCell ref="F3:H3"/>
  </mergeCells>
  <phoneticPr fontId="15" type="noConversion"/>
  <pageMargins left="0.7" right="0.7" top="0.75" bottom="0.75" header="0.3" footer="0.3"/>
  <pageSetup paperSize="9" scale="7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9"/>
  <sheetViews>
    <sheetView workbookViewId="0">
      <selection activeCell="Q42" sqref="Q42"/>
    </sheetView>
  </sheetViews>
  <sheetFormatPr defaultRowHeight="12.75" x14ac:dyDescent="0.2"/>
  <cols>
    <col min="1" max="1" width="22.7109375" style="3" customWidth="1"/>
    <col min="2" max="2" width="9.140625" style="3"/>
    <col min="3" max="11" width="17.140625" style="3" customWidth="1"/>
    <col min="12" max="16384" width="9.140625" style="3"/>
  </cols>
  <sheetData>
    <row r="1" spans="1:11" x14ac:dyDescent="0.2">
      <c r="A1" s="3" t="s">
        <v>233</v>
      </c>
    </row>
    <row r="4" spans="1:11" ht="35.25" customHeight="1" x14ac:dyDescent="0.2">
      <c r="A4" s="388" t="s">
        <v>215</v>
      </c>
      <c r="B4" s="388" t="s">
        <v>1</v>
      </c>
      <c r="C4" s="388" t="s">
        <v>224</v>
      </c>
      <c r="D4" s="388"/>
      <c r="E4" s="388"/>
      <c r="F4" s="388" t="s">
        <v>225</v>
      </c>
      <c r="G4" s="388"/>
      <c r="H4" s="388"/>
      <c r="I4" s="388" t="s">
        <v>226</v>
      </c>
      <c r="J4" s="388"/>
      <c r="K4" s="388"/>
    </row>
    <row r="5" spans="1:11" ht="18" customHeight="1" x14ac:dyDescent="0.2">
      <c r="A5" s="388"/>
      <c r="B5" s="388"/>
      <c r="C5" s="16" t="s">
        <v>417</v>
      </c>
      <c r="D5" s="16" t="s">
        <v>418</v>
      </c>
      <c r="E5" s="16" t="s">
        <v>548</v>
      </c>
      <c r="F5" s="16" t="s">
        <v>417</v>
      </c>
      <c r="G5" s="16" t="s">
        <v>418</v>
      </c>
      <c r="H5" s="16" t="s">
        <v>548</v>
      </c>
      <c r="I5" s="16" t="s">
        <v>417</v>
      </c>
      <c r="J5" s="16" t="s">
        <v>418</v>
      </c>
      <c r="K5" s="16" t="s">
        <v>548</v>
      </c>
    </row>
    <row r="6" spans="1:11" ht="29.25" customHeight="1" x14ac:dyDescent="0.2">
      <c r="A6" s="388"/>
      <c r="B6" s="388"/>
      <c r="C6" s="2" t="s">
        <v>73</v>
      </c>
      <c r="D6" s="2" t="s">
        <v>74</v>
      </c>
      <c r="E6" s="2" t="s">
        <v>75</v>
      </c>
      <c r="F6" s="2" t="s">
        <v>73</v>
      </c>
      <c r="G6" s="2" t="s">
        <v>74</v>
      </c>
      <c r="H6" s="2" t="s">
        <v>75</v>
      </c>
      <c r="I6" s="2" t="s">
        <v>73</v>
      </c>
      <c r="J6" s="2" t="s">
        <v>74</v>
      </c>
      <c r="K6" s="2" t="s">
        <v>75</v>
      </c>
    </row>
    <row r="7" spans="1:11" ht="16.5" customHeight="1" x14ac:dyDescent="0.2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</row>
    <row r="8" spans="1:11" ht="15.75" customHeight="1" x14ac:dyDescent="0.2">
      <c r="A8" s="6"/>
      <c r="B8" s="2">
        <v>1</v>
      </c>
      <c r="C8" s="5"/>
      <c r="D8" s="5"/>
      <c r="E8" s="5"/>
      <c r="F8" s="6">
        <v>1</v>
      </c>
      <c r="G8" s="6">
        <v>1</v>
      </c>
      <c r="H8" s="6">
        <v>1</v>
      </c>
      <c r="I8" s="5">
        <f>C8*F8</f>
        <v>0</v>
      </c>
      <c r="J8" s="5">
        <f>D8*G8</f>
        <v>0</v>
      </c>
      <c r="K8" s="5">
        <f>E8*H8</f>
        <v>0</v>
      </c>
    </row>
    <row r="9" spans="1:11" ht="16.5" customHeight="1" x14ac:dyDescent="0.2">
      <c r="A9" s="6" t="s">
        <v>133</v>
      </c>
      <c r="B9" s="2">
        <v>9000</v>
      </c>
      <c r="C9" s="2" t="s">
        <v>11</v>
      </c>
      <c r="D9" s="2" t="s">
        <v>11</v>
      </c>
      <c r="E9" s="2" t="s">
        <v>11</v>
      </c>
      <c r="F9" s="2" t="s">
        <v>11</v>
      </c>
      <c r="G9" s="2" t="s">
        <v>11</v>
      </c>
      <c r="H9" s="2" t="s">
        <v>11</v>
      </c>
      <c r="I9" s="40">
        <f>SUM(I8:I8)</f>
        <v>0</v>
      </c>
      <c r="J9" s="40">
        <f>SUM(J8:J8)</f>
        <v>0</v>
      </c>
      <c r="K9" s="40">
        <f>SUM(K8:K8)</f>
        <v>0</v>
      </c>
    </row>
  </sheetData>
  <mergeCells count="5">
    <mergeCell ref="I4:K4"/>
    <mergeCell ref="A4:A6"/>
    <mergeCell ref="B4:B6"/>
    <mergeCell ref="C4:E4"/>
    <mergeCell ref="F4:H4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36"/>
  <sheetViews>
    <sheetView view="pageBreakPreview" topLeftCell="A119" zoomScale="66" zoomScaleNormal="80" zoomScaleSheetLayoutView="66" zoomScalePageLayoutView="69" workbookViewId="0">
      <selection activeCell="D133" sqref="D133"/>
    </sheetView>
  </sheetViews>
  <sheetFormatPr defaultRowHeight="12.75" x14ac:dyDescent="0.2"/>
  <cols>
    <col min="1" max="1" width="33.28515625" style="3" customWidth="1"/>
    <col min="2" max="2" width="8.42578125" style="3" customWidth="1"/>
    <col min="3" max="3" width="18.85546875" style="3" customWidth="1"/>
    <col min="4" max="4" width="21.42578125" style="3" customWidth="1"/>
    <col min="5" max="5" width="18.42578125" style="3" customWidth="1"/>
    <col min="6" max="6" width="16.5703125" style="3" customWidth="1"/>
    <col min="7" max="7" width="17.7109375" style="3" customWidth="1"/>
    <col min="8" max="8" width="16.7109375" style="3" customWidth="1"/>
    <col min="9" max="9" width="21.42578125" style="3" customWidth="1"/>
    <col min="10" max="10" width="16.5703125" style="289" customWidth="1"/>
    <col min="11" max="12" width="18.28515625" style="3" customWidth="1"/>
    <col min="13" max="13" width="16.42578125" style="3" customWidth="1"/>
    <col min="14" max="14" width="18.85546875" style="3" customWidth="1"/>
    <col min="15" max="15" width="17" style="3" customWidth="1"/>
    <col min="16" max="16" width="18.42578125" style="3" customWidth="1"/>
    <col min="17" max="17" width="22.5703125" style="3" customWidth="1"/>
    <col min="18" max="18" width="17.140625" style="3" customWidth="1"/>
    <col min="19" max="19" width="14.7109375" style="3" customWidth="1"/>
    <col min="20" max="20" width="17" style="3" customWidth="1"/>
    <col min="21" max="21" width="14.85546875" style="3" customWidth="1"/>
    <col min="22" max="22" width="17.85546875" style="3" customWidth="1"/>
    <col min="23" max="23" width="17.140625" style="3" customWidth="1"/>
    <col min="24" max="24" width="17.42578125" style="3" customWidth="1"/>
    <col min="25" max="26" width="16.85546875" style="3" customWidth="1"/>
    <col min="27" max="27" width="18" style="3" customWidth="1"/>
    <col min="28" max="28" width="20.85546875" style="3" customWidth="1"/>
    <col min="29" max="29" width="19.7109375" style="3" customWidth="1"/>
    <col min="30" max="30" width="19.140625" style="3" customWidth="1"/>
    <col min="31" max="31" width="15.140625" style="3" customWidth="1"/>
    <col min="32" max="32" width="14.85546875" style="3" customWidth="1"/>
    <col min="33" max="33" width="15.42578125" style="3" customWidth="1"/>
    <col min="34" max="34" width="9" style="3" customWidth="1"/>
    <col min="35" max="16384" width="9.140625" style="3"/>
  </cols>
  <sheetData>
    <row r="1" spans="1:34" ht="28.5" customHeight="1" x14ac:dyDescent="0.3">
      <c r="A1" s="427" t="s">
        <v>249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</row>
    <row r="2" spans="1:34" ht="18.75" x14ac:dyDescent="0.3">
      <c r="A2" s="181"/>
      <c r="B2" s="181"/>
      <c r="C2" s="181"/>
      <c r="D2" s="181"/>
      <c r="E2" s="181"/>
      <c r="F2" s="181"/>
      <c r="G2" s="181"/>
      <c r="H2" s="181"/>
      <c r="I2" s="181"/>
      <c r="J2" s="281"/>
      <c r="K2" s="181"/>
      <c r="L2" s="30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B2" s="181"/>
      <c r="AC2" s="181"/>
      <c r="AD2" s="181"/>
    </row>
    <row r="3" spans="1:34" ht="28.5" customHeight="1" x14ac:dyDescent="0.3">
      <c r="A3" s="427" t="s">
        <v>250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7"/>
      <c r="T3" s="427"/>
      <c r="U3" s="427"/>
      <c r="V3" s="427"/>
      <c r="W3" s="427"/>
      <c r="X3" s="427"/>
      <c r="Y3" s="427"/>
      <c r="Z3" s="427"/>
      <c r="AA3" s="427"/>
      <c r="AB3" s="427"/>
      <c r="AC3" s="427"/>
      <c r="AD3" s="427"/>
    </row>
    <row r="4" spans="1:34" ht="18.75" x14ac:dyDescent="0.3">
      <c r="A4" s="75"/>
      <c r="B4" s="75"/>
      <c r="C4" s="75"/>
      <c r="D4" s="75"/>
      <c r="E4" s="75"/>
      <c r="F4" s="75"/>
      <c r="G4" s="75"/>
      <c r="H4" s="75"/>
      <c r="I4" s="75"/>
      <c r="J4" s="282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</row>
    <row r="5" spans="1:34" ht="18.75" x14ac:dyDescent="0.3">
      <c r="A5" s="75"/>
      <c r="B5" s="75"/>
      <c r="C5" s="75"/>
      <c r="D5" s="75"/>
      <c r="E5" s="75"/>
      <c r="F5" s="75"/>
      <c r="G5" s="75"/>
      <c r="H5" s="75"/>
      <c r="I5" s="75"/>
      <c r="J5" s="282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214"/>
      <c r="AD5" s="214"/>
      <c r="AE5" s="212"/>
      <c r="AF5" s="212"/>
    </row>
    <row r="6" spans="1:34" ht="21.75" customHeight="1" x14ac:dyDescent="0.25">
      <c r="A6" s="414" t="s">
        <v>0</v>
      </c>
      <c r="B6" s="414" t="s">
        <v>1</v>
      </c>
      <c r="C6" s="429" t="s">
        <v>113</v>
      </c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30"/>
      <c r="Z6" s="430"/>
      <c r="AA6" s="430"/>
      <c r="AB6" s="430"/>
      <c r="AC6" s="430"/>
      <c r="AD6" s="430"/>
      <c r="AE6" s="211"/>
      <c r="AF6" s="211"/>
      <c r="AG6" s="211"/>
      <c r="AH6" s="212"/>
    </row>
    <row r="7" spans="1:34" ht="20.25" customHeight="1" x14ac:dyDescent="0.25">
      <c r="A7" s="420"/>
      <c r="B7" s="420"/>
      <c r="C7" s="429" t="s">
        <v>599</v>
      </c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211"/>
      <c r="AF7" s="211"/>
      <c r="AG7" s="211"/>
      <c r="AH7" s="212"/>
    </row>
    <row r="8" spans="1:34" ht="28.5" customHeight="1" x14ac:dyDescent="0.25">
      <c r="A8" s="420"/>
      <c r="B8" s="420"/>
      <c r="C8" s="433" t="s">
        <v>73</v>
      </c>
      <c r="D8" s="406"/>
      <c r="E8" s="406"/>
      <c r="F8" s="406"/>
      <c r="G8" s="406"/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6"/>
      <c r="AB8" s="406"/>
      <c r="AC8" s="406"/>
      <c r="AD8" s="406"/>
      <c r="AE8" s="211"/>
      <c r="AF8" s="211"/>
      <c r="AG8" s="211"/>
      <c r="AH8" s="212"/>
    </row>
    <row r="9" spans="1:34" ht="139.5" customHeight="1" x14ac:dyDescent="0.2">
      <c r="A9" s="415"/>
      <c r="B9" s="415"/>
      <c r="C9" s="206" t="s">
        <v>331</v>
      </c>
      <c r="D9" s="182" t="s">
        <v>434</v>
      </c>
      <c r="E9" s="182" t="s">
        <v>329</v>
      </c>
      <c r="F9" s="182" t="s">
        <v>478</v>
      </c>
      <c r="G9" s="182" t="s">
        <v>473</v>
      </c>
      <c r="H9" s="182" t="s">
        <v>474</v>
      </c>
      <c r="I9" s="182" t="s">
        <v>475</v>
      </c>
      <c r="J9" s="206" t="s">
        <v>566</v>
      </c>
      <c r="K9" s="182" t="s">
        <v>580</v>
      </c>
      <c r="L9" s="206" t="s">
        <v>601</v>
      </c>
      <c r="M9" s="182" t="s">
        <v>477</v>
      </c>
      <c r="N9" s="206" t="s">
        <v>509</v>
      </c>
      <c r="O9" s="182" t="s">
        <v>491</v>
      </c>
      <c r="P9" s="206" t="s">
        <v>616</v>
      </c>
      <c r="Q9" s="297" t="s">
        <v>507</v>
      </c>
      <c r="R9" s="182" t="s">
        <v>484</v>
      </c>
      <c r="S9" s="210" t="s">
        <v>508</v>
      </c>
      <c r="T9" s="182" t="s">
        <v>493</v>
      </c>
      <c r="U9" s="182" t="s">
        <v>494</v>
      </c>
      <c r="V9" s="182" t="s">
        <v>496</v>
      </c>
      <c r="W9" s="182" t="s">
        <v>524</v>
      </c>
      <c r="X9" s="182" t="s">
        <v>519</v>
      </c>
      <c r="Y9" s="182" t="s">
        <v>520</v>
      </c>
      <c r="Z9" s="206" t="s">
        <v>568</v>
      </c>
      <c r="AA9" s="182" t="s">
        <v>575</v>
      </c>
      <c r="AB9" s="182" t="s">
        <v>578</v>
      </c>
    </row>
    <row r="10" spans="1:34" ht="27.75" customHeight="1" x14ac:dyDescent="0.25">
      <c r="A10" s="125">
        <v>1</v>
      </c>
      <c r="B10" s="125">
        <v>2</v>
      </c>
      <c r="C10" s="125"/>
      <c r="D10" s="125">
        <v>3</v>
      </c>
      <c r="E10" s="125"/>
      <c r="F10" s="125"/>
      <c r="G10" s="125"/>
      <c r="H10" s="125"/>
      <c r="I10" s="125"/>
      <c r="J10" s="283"/>
      <c r="K10" s="125"/>
      <c r="L10" s="304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231"/>
      <c r="AB10" s="68"/>
      <c r="AC10" s="211"/>
      <c r="AD10" s="212"/>
    </row>
    <row r="11" spans="1:34" ht="144.75" customHeight="1" x14ac:dyDescent="0.25">
      <c r="A11" s="72" t="s">
        <v>234</v>
      </c>
      <c r="B11" s="125">
        <v>100</v>
      </c>
      <c r="C11" s="183"/>
      <c r="D11" s="184"/>
      <c r="E11" s="184"/>
      <c r="F11" s="184"/>
      <c r="G11" s="184"/>
      <c r="H11" s="184"/>
      <c r="I11" s="184"/>
      <c r="J11" s="184"/>
      <c r="K11" s="184"/>
      <c r="L11" s="268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68"/>
      <c r="AC11" s="211"/>
      <c r="AD11" s="212"/>
    </row>
    <row r="12" spans="1:34" ht="110.25" customHeight="1" x14ac:dyDescent="0.25">
      <c r="A12" s="72" t="s">
        <v>235</v>
      </c>
      <c r="B12" s="125">
        <v>200</v>
      </c>
      <c r="C12" s="183"/>
      <c r="D12" s="184"/>
      <c r="E12" s="184"/>
      <c r="F12" s="184"/>
      <c r="G12" s="184"/>
      <c r="H12" s="184"/>
      <c r="I12" s="184"/>
      <c r="J12" s="184"/>
      <c r="K12" s="184"/>
      <c r="L12" s="268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68"/>
      <c r="AC12" s="184"/>
      <c r="AD12" s="213"/>
    </row>
    <row r="13" spans="1:34" ht="56.25" customHeight="1" x14ac:dyDescent="0.2">
      <c r="A13" s="249" t="s">
        <v>236</v>
      </c>
      <c r="B13" s="206">
        <v>300</v>
      </c>
      <c r="C13" s="242">
        <f>SUM(D13:AB13)</f>
        <v>25287828.309999999</v>
      </c>
      <c r="D13" s="242">
        <f>SUM(D14:D24)</f>
        <v>5878354.9900000002</v>
      </c>
      <c r="E13" s="242">
        <f>SUM(E14:E24)</f>
        <v>591100</v>
      </c>
      <c r="F13" s="242">
        <f>SUM(F14:F24)</f>
        <v>527620</v>
      </c>
      <c r="G13" s="242">
        <f t="shared" ref="G13:V13" si="0">SUM(G14:G24)</f>
        <v>63397</v>
      </c>
      <c r="H13" s="242">
        <f t="shared" si="0"/>
        <v>57970</v>
      </c>
      <c r="I13" s="242">
        <f>SUM(I14:I24)</f>
        <v>22750</v>
      </c>
      <c r="J13" s="242">
        <f>J22+J24+J19+J23</f>
        <v>532600</v>
      </c>
      <c r="K13" s="242">
        <f>SUM(K14:K24)</f>
        <v>2420000</v>
      </c>
      <c r="L13" s="242">
        <f>SUM(L14:L24)</f>
        <v>24450</v>
      </c>
      <c r="M13" s="242">
        <f t="shared" si="0"/>
        <v>1874780</v>
      </c>
      <c r="N13" s="242">
        <f t="shared" si="0"/>
        <v>56191.16</v>
      </c>
      <c r="O13" s="242">
        <f t="shared" si="0"/>
        <v>20160</v>
      </c>
      <c r="P13" s="242">
        <f>SUM(P14:P24)</f>
        <v>935665.42999999993</v>
      </c>
      <c r="Q13" s="242">
        <f>Q17+Q22+Q23</f>
        <v>47186.64</v>
      </c>
      <c r="R13" s="242">
        <f t="shared" si="0"/>
        <v>350623</v>
      </c>
      <c r="S13" s="242">
        <f t="shared" si="0"/>
        <v>6381.73</v>
      </c>
      <c r="T13" s="242">
        <f>T22</f>
        <v>150154</v>
      </c>
      <c r="U13" s="242">
        <f>U24</f>
        <v>50400</v>
      </c>
      <c r="V13" s="242">
        <f t="shared" si="0"/>
        <v>5217170</v>
      </c>
      <c r="W13" s="242">
        <f>W22</f>
        <v>5097.99</v>
      </c>
      <c r="X13" s="242">
        <f>X22</f>
        <v>3611373.34</v>
      </c>
      <c r="Y13" s="242">
        <f>Y22</f>
        <v>1475072.63</v>
      </c>
      <c r="Z13" s="242">
        <f>SUM(Z14:Z24)</f>
        <v>10000</v>
      </c>
      <c r="AA13" s="242">
        <f>AA19+AA22+AA24</f>
        <v>1359030.4000000001</v>
      </c>
      <c r="AB13" s="256">
        <f>AB24</f>
        <v>300</v>
      </c>
      <c r="AC13" s="217"/>
      <c r="AD13" s="217"/>
    </row>
    <row r="14" spans="1:34" ht="16.5" customHeight="1" x14ac:dyDescent="0.3">
      <c r="A14" s="72" t="s">
        <v>14</v>
      </c>
      <c r="B14" s="407">
        <v>301</v>
      </c>
      <c r="C14" s="409">
        <f>SUM(D14:AB15)</f>
        <v>88397</v>
      </c>
      <c r="D14" s="428"/>
      <c r="E14" s="411"/>
      <c r="F14" s="431">
        <f>'3.13.2'!L6</f>
        <v>25000</v>
      </c>
      <c r="G14" s="412">
        <f>'3.13.2'!L7</f>
        <v>63397</v>
      </c>
      <c r="H14" s="411"/>
      <c r="I14" s="431"/>
      <c r="J14" s="285"/>
      <c r="K14" s="411"/>
      <c r="L14" s="302"/>
      <c r="M14" s="411"/>
      <c r="N14" s="411"/>
      <c r="O14" s="411"/>
      <c r="P14" s="411"/>
      <c r="Q14" s="424"/>
      <c r="R14" s="411"/>
      <c r="S14" s="411"/>
      <c r="T14" s="424"/>
      <c r="U14" s="187"/>
      <c r="V14" s="411"/>
      <c r="W14" s="188"/>
      <c r="X14" s="188"/>
      <c r="Y14" s="424"/>
      <c r="Z14" s="411"/>
      <c r="AA14" s="411"/>
      <c r="AB14" s="418"/>
      <c r="AC14" s="417"/>
      <c r="AD14" s="417"/>
    </row>
    <row r="15" spans="1:34" ht="20.25" customHeight="1" x14ac:dyDescent="0.3">
      <c r="A15" s="72" t="s">
        <v>237</v>
      </c>
      <c r="B15" s="408"/>
      <c r="C15" s="410"/>
      <c r="D15" s="428"/>
      <c r="E15" s="411"/>
      <c r="F15" s="432"/>
      <c r="G15" s="413"/>
      <c r="H15" s="411"/>
      <c r="I15" s="432"/>
      <c r="J15" s="286"/>
      <c r="K15" s="411"/>
      <c r="L15" s="302"/>
      <c r="M15" s="411"/>
      <c r="N15" s="411"/>
      <c r="O15" s="411"/>
      <c r="P15" s="411"/>
      <c r="Q15" s="425"/>
      <c r="R15" s="411"/>
      <c r="S15" s="411"/>
      <c r="T15" s="425"/>
      <c r="U15" s="189"/>
      <c r="V15" s="411"/>
      <c r="W15" s="190"/>
      <c r="X15" s="190"/>
      <c r="Y15" s="425"/>
      <c r="Z15" s="411"/>
      <c r="AA15" s="411"/>
      <c r="AB15" s="418"/>
      <c r="AC15" s="417"/>
      <c r="AD15" s="417"/>
    </row>
    <row r="16" spans="1:34" ht="27" customHeight="1" x14ac:dyDescent="0.3">
      <c r="A16" s="72" t="s">
        <v>238</v>
      </c>
      <c r="B16" s="125">
        <v>302</v>
      </c>
      <c r="C16" s="191">
        <f>SUM(D16:AA16)</f>
        <v>0</v>
      </c>
      <c r="D16" s="191"/>
      <c r="E16" s="191"/>
      <c r="F16" s="191"/>
      <c r="G16" s="191"/>
      <c r="H16" s="191"/>
      <c r="I16" s="191"/>
      <c r="J16" s="284"/>
      <c r="K16" s="191"/>
      <c r="L16" s="302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230"/>
      <c r="AB16" s="252"/>
      <c r="AC16" s="214"/>
      <c r="AD16" s="214"/>
    </row>
    <row r="17" spans="1:33" ht="24.75" customHeight="1" x14ac:dyDescent="0.3">
      <c r="A17" s="192" t="s">
        <v>239</v>
      </c>
      <c r="B17" s="193">
        <v>303</v>
      </c>
      <c r="C17" s="194">
        <f>SUM(D17:AB17)</f>
        <v>5363929.63</v>
      </c>
      <c r="D17" s="194">
        <f>'3.13.4'!I20</f>
        <v>4867464.99</v>
      </c>
      <c r="E17" s="194"/>
      <c r="F17" s="194"/>
      <c r="G17" s="194"/>
      <c r="H17" s="194"/>
      <c r="I17" s="194"/>
      <c r="J17" s="284"/>
      <c r="K17" s="194"/>
      <c r="L17" s="194"/>
      <c r="M17" s="194"/>
      <c r="N17" s="194"/>
      <c r="O17" s="194"/>
      <c r="P17" s="194">
        <f>'3.13.4'!I43</f>
        <v>496464.64000000001</v>
      </c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258"/>
      <c r="AC17" s="215"/>
      <c r="AD17" s="215"/>
    </row>
    <row r="18" spans="1:33" ht="22.5" customHeight="1" x14ac:dyDescent="0.3">
      <c r="A18" s="192" t="s">
        <v>240</v>
      </c>
      <c r="B18" s="193">
        <v>304</v>
      </c>
      <c r="C18" s="194">
        <f>SUM(D18:AA18)</f>
        <v>0</v>
      </c>
      <c r="D18" s="194"/>
      <c r="E18" s="194"/>
      <c r="F18" s="194"/>
      <c r="G18" s="194"/>
      <c r="H18" s="194"/>
      <c r="I18" s="194"/>
      <c r="J18" s="28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253"/>
      <c r="AC18" s="215"/>
      <c r="AD18" s="215"/>
    </row>
    <row r="19" spans="1:33" ht="23.25" customHeight="1" x14ac:dyDescent="0.3">
      <c r="A19" s="192" t="s">
        <v>241</v>
      </c>
      <c r="B19" s="193">
        <v>305</v>
      </c>
      <c r="C19" s="194">
        <f>SUM(D19:AB19)</f>
        <v>3188278.52</v>
      </c>
      <c r="D19" s="194">
        <f>'3.13.6'!I21</f>
        <v>653828.52</v>
      </c>
      <c r="E19" s="194"/>
      <c r="F19" s="194">
        <f>'3.13.6'!I31</f>
        <v>90000</v>
      </c>
      <c r="G19" s="194"/>
      <c r="H19" s="194"/>
      <c r="I19" s="194"/>
      <c r="J19" s="284"/>
      <c r="K19" s="194">
        <f>'3.13.6'!I39</f>
        <v>2420000</v>
      </c>
      <c r="L19" s="194">
        <v>24450</v>
      </c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253"/>
      <c r="AC19" s="215"/>
      <c r="AD19" s="215"/>
    </row>
    <row r="20" spans="1:33" ht="24.75" customHeight="1" x14ac:dyDescent="0.3">
      <c r="A20" s="72" t="s">
        <v>242</v>
      </c>
      <c r="B20" s="125">
        <v>306</v>
      </c>
      <c r="C20" s="191">
        <f>SUM(D20:AA20)</f>
        <v>0</v>
      </c>
      <c r="D20" s="191"/>
      <c r="E20" s="191"/>
      <c r="F20" s="191"/>
      <c r="G20" s="191"/>
      <c r="H20" s="191"/>
      <c r="I20" s="191"/>
      <c r="J20" s="284"/>
      <c r="K20" s="191"/>
      <c r="L20" s="302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230"/>
      <c r="AB20" s="252"/>
      <c r="AC20" s="214"/>
      <c r="AD20" s="214"/>
    </row>
    <row r="21" spans="1:33" ht="58.5" customHeight="1" x14ac:dyDescent="0.3">
      <c r="A21" s="72" t="s">
        <v>243</v>
      </c>
      <c r="B21" s="125">
        <v>307</v>
      </c>
      <c r="C21" s="191">
        <f>SUM(D21:AA21)</f>
        <v>0</v>
      </c>
      <c r="D21" s="191"/>
      <c r="E21" s="191"/>
      <c r="F21" s="191"/>
      <c r="G21" s="191"/>
      <c r="H21" s="191"/>
      <c r="I21" s="191"/>
      <c r="J21" s="284"/>
      <c r="K21" s="191"/>
      <c r="L21" s="302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230"/>
      <c r="AB21" s="252"/>
      <c r="AC21" s="214"/>
      <c r="AD21" s="214"/>
    </row>
    <row r="22" spans="1:33" ht="27.75" customHeight="1" x14ac:dyDescent="0.3">
      <c r="A22" s="72" t="s">
        <v>340</v>
      </c>
      <c r="B22" s="125">
        <v>308</v>
      </c>
      <c r="C22" s="194">
        <f>SUM(D22:AB22)</f>
        <v>11545887.560000001</v>
      </c>
      <c r="D22" s="191">
        <f>'3.13.9'!F20</f>
        <v>188000</v>
      </c>
      <c r="E22" s="191">
        <f>'3.13.9'!F32</f>
        <v>72500</v>
      </c>
      <c r="F22" s="191">
        <f>'3.13.9'!F42</f>
        <v>210000</v>
      </c>
      <c r="G22" s="191"/>
      <c r="H22" s="191">
        <f>'3.13.9'!F66</f>
        <v>22000</v>
      </c>
      <c r="I22" s="191"/>
      <c r="J22" s="284"/>
      <c r="K22" s="191"/>
      <c r="L22" s="302"/>
      <c r="M22" s="191"/>
      <c r="N22" s="191"/>
      <c r="O22" s="191"/>
      <c r="P22" s="191"/>
      <c r="Q22" s="191"/>
      <c r="R22" s="191">
        <f>'3.13.9'!F74</f>
        <v>350623</v>
      </c>
      <c r="S22" s="191"/>
      <c r="T22" s="191">
        <f>'3.13.9'!F87</f>
        <v>150154</v>
      </c>
      <c r="U22" s="191"/>
      <c r="V22" s="191">
        <f>'3.13.9'!F95</f>
        <v>5217170</v>
      </c>
      <c r="W22" s="191">
        <f>'3.13.9'!F135</f>
        <v>5097.99</v>
      </c>
      <c r="X22" s="191">
        <f>'3.13.9'!F125</f>
        <v>3611373.34</v>
      </c>
      <c r="Y22" s="191">
        <f>'3.13.9'!F109</f>
        <v>1475072.63</v>
      </c>
      <c r="Z22" s="191"/>
      <c r="AA22" s="230">
        <f>'3.13.9'!F145</f>
        <v>243896.6</v>
      </c>
      <c r="AB22" s="252"/>
      <c r="AC22" s="214"/>
      <c r="AD22" s="214"/>
    </row>
    <row r="23" spans="1:33" ht="37.5" customHeight="1" x14ac:dyDescent="0.3">
      <c r="A23" s="195" t="s">
        <v>244</v>
      </c>
      <c r="B23" s="125">
        <v>309</v>
      </c>
      <c r="C23" s="194">
        <f>SUM(D23:AD23)</f>
        <v>2361167.4300000002</v>
      </c>
      <c r="D23" s="191"/>
      <c r="E23" s="191"/>
      <c r="F23" s="191"/>
      <c r="G23" s="191"/>
      <c r="H23" s="191"/>
      <c r="I23" s="191"/>
      <c r="J23" s="284"/>
      <c r="K23" s="191"/>
      <c r="L23" s="302"/>
      <c r="M23" s="191">
        <v>1874780</v>
      </c>
      <c r="N23" s="191"/>
      <c r="O23" s="191"/>
      <c r="P23" s="191">
        <v>439200.79</v>
      </c>
      <c r="Q23" s="191">
        <v>47186.64</v>
      </c>
      <c r="R23" s="191"/>
      <c r="S23" s="191"/>
      <c r="T23" s="191"/>
      <c r="U23" s="191"/>
      <c r="V23" s="191"/>
      <c r="W23" s="191"/>
      <c r="X23" s="191"/>
      <c r="Y23" s="191"/>
      <c r="Z23" s="191"/>
      <c r="AA23" s="230"/>
      <c r="AB23" s="252"/>
      <c r="AC23" s="314"/>
      <c r="AD23" s="216"/>
    </row>
    <row r="24" spans="1:33" ht="38.25" customHeight="1" x14ac:dyDescent="0.3">
      <c r="A24" s="72" t="s">
        <v>245</v>
      </c>
      <c r="B24" s="125">
        <v>310</v>
      </c>
      <c r="C24" s="194">
        <f>SUM(D24:AB24)</f>
        <v>2740168.17</v>
      </c>
      <c r="D24" s="191">
        <f>'3.13.11'!I14</f>
        <v>169061.47999999998</v>
      </c>
      <c r="E24" s="191">
        <v>518600</v>
      </c>
      <c r="F24" s="191">
        <v>202620</v>
      </c>
      <c r="G24" s="191"/>
      <c r="H24" s="191">
        <f>'3.13.11'!I63</f>
        <v>35970</v>
      </c>
      <c r="I24" s="191">
        <v>22750</v>
      </c>
      <c r="J24" s="284">
        <v>532600</v>
      </c>
      <c r="K24" s="191"/>
      <c r="L24" s="302"/>
      <c r="M24" s="191"/>
      <c r="N24" s="191">
        <v>56191.16</v>
      </c>
      <c r="O24" s="191">
        <v>20160</v>
      </c>
      <c r="P24" s="191"/>
      <c r="Q24" s="191"/>
      <c r="R24" s="191"/>
      <c r="S24" s="191">
        <v>6381.73</v>
      </c>
      <c r="T24" s="191"/>
      <c r="U24" s="191">
        <v>50400</v>
      </c>
      <c r="V24" s="191">
        <v>0</v>
      </c>
      <c r="W24" s="191"/>
      <c r="X24" s="191"/>
      <c r="Y24" s="191"/>
      <c r="Z24" s="191">
        <v>10000</v>
      </c>
      <c r="AA24" s="230">
        <v>1115133.8</v>
      </c>
      <c r="AB24" s="254">
        <v>300</v>
      </c>
      <c r="AC24" s="214"/>
      <c r="AD24" s="214"/>
    </row>
    <row r="25" spans="1:33" ht="170.25" customHeight="1" x14ac:dyDescent="0.3">
      <c r="A25" s="72" t="s">
        <v>246</v>
      </c>
      <c r="B25" s="125">
        <v>400</v>
      </c>
      <c r="C25" s="196"/>
      <c r="D25" s="191"/>
      <c r="E25" s="191"/>
      <c r="F25" s="191"/>
      <c r="G25" s="191"/>
      <c r="H25" s="191"/>
      <c r="I25" s="191"/>
      <c r="J25" s="284"/>
      <c r="K25" s="191"/>
      <c r="L25" s="302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230"/>
      <c r="AB25" s="255"/>
      <c r="AC25" s="214"/>
      <c r="AD25" s="214"/>
    </row>
    <row r="26" spans="1:33" ht="123" customHeight="1" x14ac:dyDescent="0.3">
      <c r="A26" s="72" t="s">
        <v>247</v>
      </c>
      <c r="B26" s="125">
        <v>500</v>
      </c>
      <c r="C26" s="183"/>
      <c r="D26" s="184"/>
      <c r="E26" s="184"/>
      <c r="F26" s="184"/>
      <c r="G26" s="184"/>
      <c r="H26" s="184"/>
      <c r="I26" s="184"/>
      <c r="J26" s="2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255"/>
      <c r="AC26" s="214"/>
      <c r="AD26" s="214"/>
    </row>
    <row r="27" spans="1:33" ht="92.25" customHeight="1" x14ac:dyDescent="0.2">
      <c r="A27" s="185" t="s">
        <v>248</v>
      </c>
      <c r="B27" s="182">
        <v>600</v>
      </c>
      <c r="C27" s="186">
        <f>C11-C12+C13</f>
        <v>25287828.309999999</v>
      </c>
      <c r="D27" s="186">
        <f t="shared" ref="D27:Z27" si="1">D13</f>
        <v>5878354.9900000002</v>
      </c>
      <c r="E27" s="186">
        <f t="shared" si="1"/>
        <v>591100</v>
      </c>
      <c r="F27" s="186">
        <f t="shared" si="1"/>
        <v>527620</v>
      </c>
      <c r="G27" s="186">
        <f t="shared" si="1"/>
        <v>63397</v>
      </c>
      <c r="H27" s="186">
        <f t="shared" si="1"/>
        <v>57970</v>
      </c>
      <c r="I27" s="186">
        <f t="shared" si="1"/>
        <v>22750</v>
      </c>
      <c r="J27" s="186">
        <f t="shared" si="1"/>
        <v>532600</v>
      </c>
      <c r="K27" s="186">
        <f t="shared" si="1"/>
        <v>2420000</v>
      </c>
      <c r="L27" s="186">
        <f t="shared" si="1"/>
        <v>24450</v>
      </c>
      <c r="M27" s="186">
        <f t="shared" si="1"/>
        <v>1874780</v>
      </c>
      <c r="N27" s="186">
        <f t="shared" si="1"/>
        <v>56191.16</v>
      </c>
      <c r="O27" s="186">
        <f t="shared" si="1"/>
        <v>20160</v>
      </c>
      <c r="P27" s="186">
        <f t="shared" si="1"/>
        <v>935665.42999999993</v>
      </c>
      <c r="Q27" s="186">
        <f>Q13</f>
        <v>47186.64</v>
      </c>
      <c r="R27" s="186">
        <f t="shared" si="1"/>
        <v>350623</v>
      </c>
      <c r="S27" s="186">
        <f t="shared" si="1"/>
        <v>6381.73</v>
      </c>
      <c r="T27" s="186">
        <f t="shared" si="1"/>
        <v>150154</v>
      </c>
      <c r="U27" s="186">
        <f t="shared" si="1"/>
        <v>50400</v>
      </c>
      <c r="V27" s="186">
        <f t="shared" si="1"/>
        <v>5217170</v>
      </c>
      <c r="W27" s="186">
        <f>W13</f>
        <v>5097.99</v>
      </c>
      <c r="X27" s="186">
        <f>X13</f>
        <v>3611373.34</v>
      </c>
      <c r="Y27" s="186">
        <f t="shared" si="1"/>
        <v>1475072.63</v>
      </c>
      <c r="Z27" s="186">
        <f t="shared" si="1"/>
        <v>10000</v>
      </c>
      <c r="AA27" s="186">
        <f>AA13</f>
        <v>1359030.4000000001</v>
      </c>
      <c r="AB27" s="257">
        <f>AB13</f>
        <v>300</v>
      </c>
      <c r="AC27" s="217"/>
      <c r="AD27" s="217"/>
    </row>
    <row r="28" spans="1:33" ht="18.75" x14ac:dyDescent="0.3">
      <c r="A28" s="75"/>
      <c r="B28" s="75"/>
      <c r="C28" s="75"/>
      <c r="D28" s="75"/>
      <c r="E28" s="75"/>
      <c r="F28" s="75"/>
      <c r="G28" s="75"/>
      <c r="H28" s="75"/>
      <c r="I28" s="75"/>
      <c r="J28" s="282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66"/>
      <c r="AF28" s="66"/>
      <c r="AG28" s="66"/>
    </row>
    <row r="29" spans="1:33" ht="18.75" hidden="1" x14ac:dyDescent="0.3">
      <c r="A29" s="75"/>
      <c r="B29" s="75"/>
      <c r="C29" s="75"/>
      <c r="D29" s="75"/>
      <c r="E29" s="75"/>
      <c r="F29" s="75"/>
      <c r="G29" s="75"/>
      <c r="H29" s="75"/>
      <c r="I29" s="75"/>
      <c r="J29" s="282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66"/>
      <c r="AF29" s="66"/>
      <c r="AG29" s="66"/>
    </row>
    <row r="30" spans="1:33" ht="18.75" hidden="1" x14ac:dyDescent="0.3">
      <c r="A30" s="75"/>
      <c r="B30" s="75"/>
      <c r="C30" s="75"/>
      <c r="D30" s="75"/>
      <c r="E30" s="75"/>
      <c r="F30" s="75"/>
      <c r="G30" s="273"/>
      <c r="H30" s="75"/>
      <c r="I30" s="75"/>
      <c r="J30" s="282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66"/>
      <c r="AF30" s="66"/>
      <c r="AG30" s="66"/>
    </row>
    <row r="31" spans="1:33" ht="18.75" hidden="1" x14ac:dyDescent="0.3">
      <c r="A31" s="75"/>
      <c r="B31" s="75"/>
      <c r="C31" s="75"/>
      <c r="D31" s="75"/>
      <c r="E31" s="75"/>
      <c r="F31" s="75"/>
      <c r="G31" s="75"/>
      <c r="H31" s="75"/>
      <c r="I31" s="75"/>
      <c r="J31" s="282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66"/>
      <c r="AF31" s="66"/>
      <c r="AG31" s="66"/>
    </row>
    <row r="32" spans="1:33" ht="18.75" hidden="1" x14ac:dyDescent="0.3">
      <c r="A32" s="75"/>
      <c r="B32" s="75"/>
      <c r="C32" s="75"/>
      <c r="D32" s="75"/>
      <c r="E32" s="75"/>
      <c r="F32" s="75"/>
      <c r="G32" s="75"/>
      <c r="H32" s="75"/>
      <c r="I32" s="75"/>
      <c r="J32" s="282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66"/>
      <c r="AF32" s="66"/>
      <c r="AG32" s="66"/>
    </row>
    <row r="33" spans="1:33" ht="18.75" hidden="1" x14ac:dyDescent="0.3">
      <c r="A33" s="75"/>
      <c r="B33" s="75"/>
      <c r="C33" s="75"/>
      <c r="D33" s="75"/>
      <c r="E33" s="75"/>
      <c r="F33" s="75"/>
      <c r="G33" s="75"/>
      <c r="H33" s="75"/>
      <c r="I33" s="75"/>
      <c r="J33" s="282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66"/>
      <c r="AF33" s="66"/>
      <c r="AG33" s="66"/>
    </row>
    <row r="34" spans="1:33" ht="18.75" hidden="1" x14ac:dyDescent="0.3">
      <c r="A34" s="75"/>
      <c r="B34" s="75"/>
      <c r="C34" s="75"/>
      <c r="D34" s="75"/>
      <c r="E34" s="75"/>
      <c r="F34" s="75"/>
      <c r="G34" s="75"/>
      <c r="H34" s="75"/>
      <c r="I34" s="75"/>
      <c r="J34" s="282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66"/>
      <c r="AF34" s="66"/>
      <c r="AG34" s="66"/>
    </row>
    <row r="35" spans="1:33" ht="18.75" hidden="1" x14ac:dyDescent="0.3">
      <c r="A35" s="75"/>
      <c r="B35" s="75"/>
      <c r="C35" s="75"/>
      <c r="D35" s="75"/>
      <c r="E35" s="75"/>
      <c r="F35" s="75"/>
      <c r="G35" s="75"/>
      <c r="H35" s="75"/>
      <c r="I35" s="75"/>
      <c r="J35" s="282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66"/>
      <c r="AF35" s="66"/>
      <c r="AG35" s="66"/>
    </row>
    <row r="36" spans="1:33" ht="18.75" hidden="1" x14ac:dyDescent="0.3">
      <c r="A36" s="75"/>
      <c r="B36" s="75"/>
      <c r="C36" s="75"/>
      <c r="D36" s="75"/>
      <c r="E36" s="75"/>
      <c r="F36" s="75"/>
      <c r="G36" s="75"/>
      <c r="H36" s="75"/>
      <c r="I36" s="75"/>
      <c r="J36" s="282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66"/>
      <c r="AF36" s="66"/>
      <c r="AG36" s="66"/>
    </row>
    <row r="37" spans="1:33" ht="18.75" hidden="1" x14ac:dyDescent="0.3">
      <c r="A37" s="75"/>
      <c r="B37" s="75"/>
      <c r="C37" s="75"/>
      <c r="D37" s="75"/>
      <c r="E37" s="75"/>
      <c r="F37" s="75"/>
      <c r="G37" s="75"/>
      <c r="H37" s="75"/>
      <c r="I37" s="75"/>
      <c r="J37" s="282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66"/>
      <c r="AF37" s="66"/>
      <c r="AG37" s="66"/>
    </row>
    <row r="38" spans="1:33" ht="18.75" hidden="1" x14ac:dyDescent="0.3">
      <c r="A38" s="75"/>
      <c r="B38" s="75"/>
      <c r="C38" s="75"/>
      <c r="D38" s="75"/>
      <c r="E38" s="75"/>
      <c r="F38" s="75"/>
      <c r="G38" s="75"/>
      <c r="H38" s="75"/>
      <c r="I38" s="75"/>
      <c r="J38" s="282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66"/>
      <c r="AF38" s="66"/>
      <c r="AG38" s="66"/>
    </row>
    <row r="39" spans="1:33" ht="18.75" hidden="1" x14ac:dyDescent="0.3">
      <c r="A39" s="75"/>
      <c r="B39" s="75"/>
      <c r="C39" s="75"/>
      <c r="D39" s="75"/>
      <c r="E39" s="75"/>
      <c r="F39" s="75"/>
      <c r="G39" s="75"/>
      <c r="H39" s="75"/>
      <c r="I39" s="75"/>
      <c r="J39" s="282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66"/>
      <c r="AF39" s="66"/>
      <c r="AG39" s="66"/>
    </row>
    <row r="40" spans="1:33" ht="18.75" hidden="1" x14ac:dyDescent="0.3">
      <c r="A40" s="75"/>
      <c r="B40" s="75"/>
      <c r="C40" s="75"/>
      <c r="D40" s="75"/>
      <c r="E40" s="75"/>
      <c r="F40" s="75"/>
      <c r="G40" s="75"/>
      <c r="H40" s="75"/>
      <c r="I40" s="75"/>
      <c r="J40" s="282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66"/>
      <c r="AF40" s="66"/>
      <c r="AG40" s="66"/>
    </row>
    <row r="41" spans="1:33" ht="18.75" hidden="1" x14ac:dyDescent="0.3">
      <c r="A41" s="75"/>
      <c r="B41" s="75"/>
      <c r="C41" s="75"/>
      <c r="D41" s="75"/>
      <c r="E41" s="75"/>
      <c r="F41" s="75"/>
      <c r="G41" s="75"/>
      <c r="H41" s="75"/>
      <c r="I41" s="75"/>
      <c r="J41" s="282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66"/>
      <c r="AF41" s="66"/>
      <c r="AG41" s="66"/>
    </row>
    <row r="42" spans="1:33" ht="18.75" hidden="1" x14ac:dyDescent="0.3">
      <c r="A42" s="75"/>
      <c r="B42" s="75"/>
      <c r="C42" s="75"/>
      <c r="D42" s="75"/>
      <c r="E42" s="75"/>
      <c r="F42" s="75"/>
      <c r="G42" s="75"/>
      <c r="H42" s="75"/>
      <c r="I42" s="75"/>
      <c r="J42" s="282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66"/>
      <c r="AF42" s="66"/>
      <c r="AG42" s="66"/>
    </row>
    <row r="43" spans="1:33" ht="18.75" hidden="1" x14ac:dyDescent="0.3">
      <c r="A43" s="75"/>
      <c r="B43" s="75"/>
      <c r="C43" s="75"/>
      <c r="D43" s="75"/>
      <c r="E43" s="75"/>
      <c r="F43" s="75"/>
      <c r="G43" s="75"/>
      <c r="H43" s="75"/>
      <c r="I43" s="75"/>
      <c r="J43" s="282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66"/>
      <c r="AF43" s="66"/>
      <c r="AG43" s="66"/>
    </row>
    <row r="44" spans="1:33" ht="18.75" hidden="1" x14ac:dyDescent="0.3">
      <c r="A44" s="75"/>
      <c r="B44" s="75"/>
      <c r="C44" s="75"/>
      <c r="D44" s="75"/>
      <c r="E44" s="75"/>
      <c r="F44" s="75"/>
      <c r="G44" s="75"/>
      <c r="H44" s="75"/>
      <c r="I44" s="75"/>
      <c r="J44" s="282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66"/>
      <c r="AF44" s="66"/>
      <c r="AG44" s="66"/>
    </row>
    <row r="45" spans="1:33" ht="18.75" hidden="1" x14ac:dyDescent="0.3">
      <c r="A45" s="75"/>
      <c r="B45" s="75"/>
      <c r="C45" s="75"/>
      <c r="D45" s="75"/>
      <c r="E45" s="75"/>
      <c r="F45" s="75"/>
      <c r="G45" s="75"/>
      <c r="H45" s="75"/>
      <c r="I45" s="75"/>
      <c r="J45" s="282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66"/>
      <c r="AF45" s="66"/>
      <c r="AG45" s="66"/>
    </row>
    <row r="46" spans="1:33" ht="18.75" hidden="1" x14ac:dyDescent="0.3">
      <c r="A46" s="75"/>
      <c r="B46" s="75"/>
      <c r="C46" s="75"/>
      <c r="D46" s="75"/>
      <c r="E46" s="75"/>
      <c r="F46" s="75"/>
      <c r="G46" s="75"/>
      <c r="H46" s="75"/>
      <c r="I46" s="75"/>
      <c r="J46" s="282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66"/>
      <c r="AF46" s="66"/>
      <c r="AG46" s="66"/>
    </row>
    <row r="47" spans="1:33" ht="18.75" hidden="1" x14ac:dyDescent="0.3">
      <c r="A47" s="75"/>
      <c r="B47" s="75"/>
      <c r="C47" s="75"/>
      <c r="D47" s="75"/>
      <c r="E47" s="75"/>
      <c r="F47" s="75"/>
      <c r="G47" s="75"/>
      <c r="H47" s="75"/>
      <c r="I47" s="75"/>
      <c r="J47" s="282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66"/>
      <c r="AF47" s="66"/>
      <c r="AG47" s="66"/>
    </row>
    <row r="48" spans="1:33" ht="18.75" hidden="1" x14ac:dyDescent="0.3">
      <c r="A48" s="75"/>
      <c r="B48" s="75"/>
      <c r="C48" s="75"/>
      <c r="D48" s="75"/>
      <c r="E48" s="75"/>
      <c r="F48" s="75"/>
      <c r="G48" s="75"/>
      <c r="H48" s="75"/>
      <c r="I48" s="75"/>
      <c r="J48" s="282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66"/>
      <c r="AF48" s="66"/>
      <c r="AG48" s="66"/>
    </row>
    <row r="49" spans="1:33" ht="18.75" hidden="1" x14ac:dyDescent="0.3">
      <c r="A49" s="75"/>
      <c r="B49" s="75"/>
      <c r="C49" s="75"/>
      <c r="D49" s="75"/>
      <c r="E49" s="75"/>
      <c r="F49" s="75"/>
      <c r="G49" s="75"/>
      <c r="H49" s="75"/>
      <c r="I49" s="75"/>
      <c r="J49" s="282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66"/>
      <c r="AF49" s="66"/>
      <c r="AG49" s="66"/>
    </row>
    <row r="50" spans="1:33" ht="18.75" hidden="1" x14ac:dyDescent="0.3">
      <c r="A50" s="75"/>
      <c r="B50" s="75"/>
      <c r="C50" s="75"/>
      <c r="D50" s="75"/>
      <c r="E50" s="75"/>
      <c r="F50" s="75"/>
      <c r="G50" s="75"/>
      <c r="H50" s="75"/>
      <c r="I50" s="75"/>
      <c r="J50" s="282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66"/>
      <c r="AF50" s="66"/>
      <c r="AG50" s="66"/>
    </row>
    <row r="51" spans="1:33" ht="18.75" hidden="1" x14ac:dyDescent="0.3">
      <c r="A51" s="75"/>
      <c r="B51" s="75"/>
      <c r="C51" s="75"/>
      <c r="D51" s="75"/>
      <c r="E51" s="75"/>
      <c r="F51" s="75"/>
      <c r="G51" s="75"/>
      <c r="H51" s="75"/>
      <c r="I51" s="75"/>
      <c r="J51" s="282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66"/>
      <c r="AF51" s="66"/>
      <c r="AG51" s="66"/>
    </row>
    <row r="52" spans="1:33" ht="18.75" hidden="1" x14ac:dyDescent="0.3">
      <c r="A52" s="75"/>
      <c r="B52" s="75"/>
      <c r="C52" s="75"/>
      <c r="D52" s="75"/>
      <c r="E52" s="75"/>
      <c r="F52" s="75"/>
      <c r="G52" s="75"/>
      <c r="H52" s="75"/>
      <c r="I52" s="75"/>
      <c r="J52" s="282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66"/>
      <c r="AF52" s="66"/>
      <c r="AG52" s="66"/>
    </row>
    <row r="53" spans="1:33" ht="18.75" hidden="1" x14ac:dyDescent="0.3">
      <c r="A53" s="75"/>
      <c r="B53" s="75"/>
      <c r="C53" s="75"/>
      <c r="D53" s="75"/>
      <c r="E53" s="75"/>
      <c r="F53" s="75"/>
      <c r="G53" s="75"/>
      <c r="H53" s="75"/>
      <c r="I53" s="75"/>
      <c r="J53" s="282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66"/>
      <c r="AF53" s="66"/>
      <c r="AG53" s="66"/>
    </row>
    <row r="54" spans="1:33" ht="18.75" hidden="1" x14ac:dyDescent="0.3">
      <c r="A54" s="75"/>
      <c r="B54" s="75"/>
      <c r="C54" s="75"/>
      <c r="D54" s="75"/>
      <c r="E54" s="75"/>
      <c r="F54" s="75"/>
      <c r="G54" s="75"/>
      <c r="H54" s="75"/>
      <c r="I54" s="75"/>
      <c r="J54" s="282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66"/>
      <c r="AF54" s="66"/>
      <c r="AG54" s="66"/>
    </row>
    <row r="55" spans="1:33" ht="18.75" hidden="1" x14ac:dyDescent="0.3">
      <c r="A55" s="75"/>
      <c r="B55" s="75"/>
      <c r="C55" s="75"/>
      <c r="D55" s="75"/>
      <c r="E55" s="75"/>
      <c r="F55" s="75"/>
      <c r="G55" s="75"/>
      <c r="H55" s="75"/>
      <c r="I55" s="75"/>
      <c r="J55" s="282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66"/>
      <c r="AF55" s="66"/>
      <c r="AG55" s="66"/>
    </row>
    <row r="56" spans="1:33" ht="18.75" hidden="1" x14ac:dyDescent="0.3">
      <c r="A56" s="75"/>
      <c r="B56" s="75"/>
      <c r="C56" s="75"/>
      <c r="D56" s="75"/>
      <c r="E56" s="75"/>
      <c r="F56" s="75"/>
      <c r="G56" s="75"/>
      <c r="H56" s="75"/>
      <c r="I56" s="75"/>
      <c r="J56" s="282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66"/>
      <c r="AF56" s="66"/>
      <c r="AG56" s="66"/>
    </row>
    <row r="57" spans="1:33" ht="18.75" hidden="1" x14ac:dyDescent="0.3">
      <c r="A57" s="75"/>
      <c r="B57" s="75"/>
      <c r="C57" s="75"/>
      <c r="D57" s="75"/>
      <c r="E57" s="75"/>
      <c r="F57" s="75"/>
      <c r="G57" s="75"/>
      <c r="H57" s="75"/>
      <c r="I57" s="75"/>
      <c r="J57" s="282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66"/>
      <c r="AF57" s="66"/>
      <c r="AG57" s="66"/>
    </row>
    <row r="58" spans="1:33" ht="18.75" x14ac:dyDescent="0.3">
      <c r="A58" s="75"/>
      <c r="B58" s="75"/>
      <c r="C58" s="75"/>
      <c r="D58" s="75"/>
      <c r="E58" s="75"/>
      <c r="F58" s="75"/>
      <c r="G58" s="75"/>
      <c r="H58" s="75"/>
      <c r="I58" s="75"/>
      <c r="J58" s="282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66"/>
      <c r="AF58" s="66"/>
      <c r="AG58" s="66"/>
    </row>
    <row r="59" spans="1:33" ht="18.75" x14ac:dyDescent="0.3">
      <c r="A59" s="75"/>
      <c r="B59" s="75"/>
      <c r="C59" s="75"/>
      <c r="D59" s="75"/>
      <c r="E59" s="75"/>
      <c r="F59" s="75"/>
      <c r="G59" s="75"/>
      <c r="H59" s="75"/>
      <c r="I59" s="75"/>
      <c r="J59" s="282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66"/>
      <c r="AF59" s="66"/>
      <c r="AG59" s="66"/>
    </row>
    <row r="60" spans="1:33" ht="18.75" x14ac:dyDescent="0.3">
      <c r="A60" s="75"/>
      <c r="B60" s="75"/>
      <c r="C60" s="75"/>
      <c r="D60" s="75"/>
      <c r="E60" s="75"/>
      <c r="F60" s="75"/>
      <c r="G60" s="75"/>
      <c r="H60" s="75"/>
      <c r="I60" s="75"/>
      <c r="J60" s="282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66"/>
      <c r="AF60" s="66"/>
      <c r="AG60" s="66"/>
    </row>
    <row r="61" spans="1:33" ht="18.75" x14ac:dyDescent="0.3">
      <c r="A61" s="414" t="s">
        <v>0</v>
      </c>
      <c r="B61" s="414" t="s">
        <v>1</v>
      </c>
      <c r="C61" s="262" t="s">
        <v>113</v>
      </c>
      <c r="D61" s="263"/>
      <c r="E61" s="263"/>
      <c r="F61" s="263"/>
      <c r="G61" s="263"/>
      <c r="H61" s="263"/>
      <c r="I61" s="263"/>
      <c r="J61" s="287"/>
      <c r="K61" s="263"/>
      <c r="L61" s="263"/>
      <c r="M61" s="263"/>
      <c r="N61" s="263"/>
      <c r="O61" s="263"/>
      <c r="P61" s="263"/>
      <c r="Q61" s="263"/>
      <c r="R61" s="263"/>
      <c r="S61" s="263"/>
      <c r="T61" s="263"/>
      <c r="U61" s="263"/>
      <c r="V61" s="263"/>
      <c r="W61" s="263"/>
      <c r="X61" s="263"/>
      <c r="Y61" s="263"/>
      <c r="Z61" s="263"/>
      <c r="AA61" s="263"/>
      <c r="AB61" s="263"/>
      <c r="AC61" s="263"/>
      <c r="AD61" s="263"/>
      <c r="AE61" s="66"/>
      <c r="AF61" s="66"/>
      <c r="AG61" s="66"/>
    </row>
    <row r="62" spans="1:33" ht="18.75" x14ac:dyDescent="0.25">
      <c r="A62" s="420"/>
      <c r="B62" s="420"/>
      <c r="C62" s="264" t="s">
        <v>548</v>
      </c>
      <c r="D62" s="261"/>
      <c r="E62" s="261"/>
      <c r="F62" s="261"/>
      <c r="G62" s="261"/>
      <c r="H62" s="261"/>
      <c r="I62" s="261"/>
      <c r="J62" s="271"/>
      <c r="K62" s="261"/>
      <c r="L62" s="303"/>
      <c r="M62" s="261"/>
      <c r="N62" s="261"/>
      <c r="O62" s="261"/>
      <c r="P62" s="261"/>
      <c r="Q62" s="261"/>
      <c r="R62" s="261"/>
      <c r="S62" s="261"/>
      <c r="T62" s="261"/>
      <c r="U62" s="261"/>
      <c r="V62" s="261"/>
      <c r="W62" s="261"/>
      <c r="X62" s="261"/>
      <c r="Y62" s="261"/>
      <c r="Z62" s="261"/>
      <c r="AA62" s="261"/>
      <c r="AB62" s="261"/>
      <c r="AC62" s="261"/>
      <c r="AD62" s="265"/>
      <c r="AE62" s="66"/>
      <c r="AF62" s="66"/>
      <c r="AG62" s="66"/>
    </row>
    <row r="63" spans="1:33" ht="18.75" customHeight="1" x14ac:dyDescent="0.25">
      <c r="A63" s="420"/>
      <c r="B63" s="420"/>
      <c r="C63" s="264" t="s">
        <v>74</v>
      </c>
      <c r="D63" s="261"/>
      <c r="E63" s="261"/>
      <c r="F63" s="261"/>
      <c r="G63" s="261"/>
      <c r="H63" s="261"/>
      <c r="I63" s="261"/>
      <c r="J63" s="271"/>
      <c r="K63" s="261"/>
      <c r="L63" s="303"/>
      <c r="M63" s="261"/>
      <c r="N63" s="261"/>
      <c r="O63" s="261"/>
      <c r="P63" s="261"/>
      <c r="Q63" s="261"/>
      <c r="R63" s="261"/>
      <c r="S63" s="261"/>
      <c r="T63" s="261"/>
      <c r="U63" s="261"/>
      <c r="V63" s="261"/>
      <c r="W63" s="261"/>
      <c r="X63" s="261"/>
      <c r="Y63" s="261"/>
      <c r="Z63" s="261"/>
      <c r="AA63" s="261"/>
      <c r="AB63" s="261"/>
      <c r="AC63" s="261"/>
      <c r="AD63" s="265"/>
      <c r="AE63" s="66"/>
      <c r="AF63" s="66"/>
      <c r="AG63" s="66"/>
    </row>
    <row r="64" spans="1:33" ht="132" customHeight="1" x14ac:dyDescent="0.25">
      <c r="A64" s="415"/>
      <c r="B64" s="415"/>
      <c r="C64" s="125" t="s">
        <v>331</v>
      </c>
      <c r="D64" s="206" t="s">
        <v>434</v>
      </c>
      <c r="E64" s="206" t="s">
        <v>329</v>
      </c>
      <c r="F64" s="206" t="s">
        <v>471</v>
      </c>
      <c r="G64" s="206" t="s">
        <v>473</v>
      </c>
      <c r="H64" s="206" t="s">
        <v>474</v>
      </c>
      <c r="I64" s="206" t="s">
        <v>475</v>
      </c>
      <c r="J64" s="206" t="s">
        <v>477</v>
      </c>
      <c r="K64" s="206" t="s">
        <v>520</v>
      </c>
      <c r="L64" s="206" t="s">
        <v>519</v>
      </c>
      <c r="M64" s="206" t="s">
        <v>481</v>
      </c>
      <c r="N64" s="206" t="s">
        <v>565</v>
      </c>
      <c r="O64" s="206" t="s">
        <v>491</v>
      </c>
      <c r="P64" s="206" t="s">
        <v>493</v>
      </c>
      <c r="Q64" s="206" t="s">
        <v>494</v>
      </c>
      <c r="R64" s="206" t="s">
        <v>497</v>
      </c>
      <c r="S64" s="206" t="s">
        <v>617</v>
      </c>
      <c r="T64" s="206" t="s">
        <v>574</v>
      </c>
      <c r="U64" s="206" t="s">
        <v>524</v>
      </c>
      <c r="V64" s="206" t="s">
        <v>580</v>
      </c>
      <c r="W64" s="206" t="s">
        <v>601</v>
      </c>
      <c r="X64" s="66"/>
      <c r="Y64" s="66"/>
      <c r="Z64" s="66"/>
    </row>
    <row r="65" spans="1:26" ht="24" customHeight="1" x14ac:dyDescent="0.25">
      <c r="A65" s="125">
        <v>1</v>
      </c>
      <c r="B65" s="125">
        <v>2</v>
      </c>
      <c r="C65" s="125"/>
      <c r="D65" s="125">
        <v>3</v>
      </c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231"/>
      <c r="U65" s="231"/>
      <c r="V65" s="305"/>
      <c r="W65" s="305"/>
      <c r="X65" s="66"/>
      <c r="Y65" s="66"/>
      <c r="Z65" s="66"/>
    </row>
    <row r="66" spans="1:26" ht="233.25" customHeight="1" x14ac:dyDescent="0.25">
      <c r="A66" s="72" t="s">
        <v>234</v>
      </c>
      <c r="B66" s="125">
        <v>100</v>
      </c>
      <c r="C66" s="125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66"/>
      <c r="Y66" s="66"/>
      <c r="Z66" s="66"/>
    </row>
    <row r="67" spans="1:26" ht="152.25" customHeight="1" x14ac:dyDescent="0.25">
      <c r="A67" s="72" t="s">
        <v>235</v>
      </c>
      <c r="B67" s="125">
        <v>200</v>
      </c>
      <c r="C67" s="125"/>
      <c r="D67" s="74"/>
      <c r="E67" s="74"/>
      <c r="F67" s="74"/>
      <c r="G67" s="74"/>
      <c r="H67" s="74"/>
      <c r="I67" s="18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66"/>
      <c r="Y67" s="66"/>
      <c r="Z67" s="66"/>
    </row>
    <row r="68" spans="1:26" ht="55.5" customHeight="1" x14ac:dyDescent="0.25">
      <c r="A68" s="72" t="s">
        <v>236</v>
      </c>
      <c r="B68" s="125">
        <v>300</v>
      </c>
      <c r="C68" s="248">
        <f>SUM(D68:W68)</f>
        <v>23623269.43</v>
      </c>
      <c r="D68" s="243">
        <f>D72+D74+D77+D79</f>
        <v>5878355</v>
      </c>
      <c r="E68" s="243">
        <f>E77+E79</f>
        <v>591100</v>
      </c>
      <c r="F68" s="243">
        <f>F69+F74+F77+F79</f>
        <v>527620</v>
      </c>
      <c r="G68" s="243">
        <f>G69+G74+G77+G79</f>
        <v>63397</v>
      </c>
      <c r="H68" s="243">
        <f>H77+H79</f>
        <v>57970</v>
      </c>
      <c r="I68" s="243">
        <f>I77+I79</f>
        <v>22750</v>
      </c>
      <c r="J68" s="243">
        <f>J78</f>
        <v>1874780</v>
      </c>
      <c r="K68" s="243">
        <f>K77</f>
        <v>1417373</v>
      </c>
      <c r="L68" s="243">
        <f>L77</f>
        <v>3470110</v>
      </c>
      <c r="M68" s="243">
        <f>M77</f>
        <v>350623</v>
      </c>
      <c r="N68" s="243">
        <f>N78</f>
        <v>13700</v>
      </c>
      <c r="O68" s="243">
        <f>O79</f>
        <v>20160</v>
      </c>
      <c r="P68" s="243">
        <f>P77</f>
        <v>150154</v>
      </c>
      <c r="Q68" s="243">
        <f>Q79</f>
        <v>50400</v>
      </c>
      <c r="R68" s="243">
        <f>R79</f>
        <v>532600</v>
      </c>
      <c r="S68" s="243">
        <f>S78+S72</f>
        <v>935665.42999999993</v>
      </c>
      <c r="T68" s="243">
        <f>T77</f>
        <v>5217170</v>
      </c>
      <c r="U68" s="243">
        <f>U77</f>
        <v>4892</v>
      </c>
      <c r="V68" s="243">
        <f>V74</f>
        <v>2420000</v>
      </c>
      <c r="W68" s="243">
        <f>W74</f>
        <v>24450</v>
      </c>
      <c r="X68" s="66"/>
      <c r="Y68" s="66"/>
      <c r="Z68" s="66"/>
    </row>
    <row r="69" spans="1:26" ht="29.25" customHeight="1" x14ac:dyDescent="0.25">
      <c r="A69" s="72" t="s">
        <v>14</v>
      </c>
      <c r="B69" s="407">
        <v>301</v>
      </c>
      <c r="C69" s="421">
        <f>F69+G69</f>
        <v>88397</v>
      </c>
      <c r="D69" s="414"/>
      <c r="E69" s="414"/>
      <c r="F69" s="419">
        <f>'3.13.2'!M6</f>
        <v>25000</v>
      </c>
      <c r="G69" s="426">
        <f>'3.13.2'!M7</f>
        <v>63397</v>
      </c>
      <c r="H69" s="414"/>
      <c r="I69" s="414"/>
      <c r="J69" s="414"/>
      <c r="K69" s="414"/>
      <c r="L69" s="414"/>
      <c r="M69" s="414"/>
      <c r="N69" s="199"/>
      <c r="O69" s="414"/>
      <c r="P69" s="414"/>
      <c r="Q69" s="414"/>
      <c r="R69" s="199"/>
      <c r="S69" s="125"/>
      <c r="T69" s="416"/>
      <c r="U69" s="231"/>
      <c r="V69" s="305"/>
      <c r="W69" s="416"/>
      <c r="X69" s="66"/>
      <c r="Y69" s="66"/>
      <c r="Z69" s="66"/>
    </row>
    <row r="70" spans="1:26" ht="27.75" customHeight="1" x14ac:dyDescent="0.25">
      <c r="A70" s="72" t="s">
        <v>237</v>
      </c>
      <c r="B70" s="408"/>
      <c r="C70" s="422"/>
      <c r="D70" s="415"/>
      <c r="E70" s="415"/>
      <c r="F70" s="415"/>
      <c r="G70" s="416"/>
      <c r="H70" s="415"/>
      <c r="I70" s="415"/>
      <c r="J70" s="415"/>
      <c r="K70" s="415"/>
      <c r="L70" s="415"/>
      <c r="M70" s="415"/>
      <c r="N70" s="200"/>
      <c r="O70" s="415"/>
      <c r="P70" s="415"/>
      <c r="Q70" s="415"/>
      <c r="R70" s="200"/>
      <c r="S70" s="125"/>
      <c r="T70" s="416"/>
      <c r="U70" s="231"/>
      <c r="V70" s="305"/>
      <c r="W70" s="416"/>
      <c r="X70" s="66"/>
      <c r="Y70" s="66"/>
      <c r="Z70" s="66"/>
    </row>
    <row r="71" spans="1:26" ht="24.75" customHeight="1" x14ac:dyDescent="0.25">
      <c r="A71" s="72" t="s">
        <v>238</v>
      </c>
      <c r="B71" s="125">
        <v>302</v>
      </c>
      <c r="C71" s="73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66"/>
      <c r="Y71" s="66"/>
      <c r="Z71" s="66"/>
    </row>
    <row r="72" spans="1:26" ht="27.75" customHeight="1" x14ac:dyDescent="0.25">
      <c r="A72" s="72" t="s">
        <v>239</v>
      </c>
      <c r="B72" s="125">
        <v>303</v>
      </c>
      <c r="C72" s="201">
        <f>D72+W72+S72</f>
        <v>5363929.63</v>
      </c>
      <c r="D72" s="74">
        <f>'3.13.4'!J20</f>
        <v>4867464.99</v>
      </c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>
        <f>'3.13.4'!J43</f>
        <v>496464.64000000001</v>
      </c>
      <c r="T72" s="74"/>
      <c r="U72" s="74"/>
      <c r="V72" s="74"/>
      <c r="W72" s="74"/>
      <c r="X72" s="66"/>
      <c r="Y72" s="66"/>
      <c r="Z72" s="66"/>
    </row>
    <row r="73" spans="1:26" ht="24" customHeight="1" x14ac:dyDescent="0.25">
      <c r="A73" s="72" t="s">
        <v>240</v>
      </c>
      <c r="B73" s="125">
        <v>304</v>
      </c>
      <c r="C73" s="73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66"/>
      <c r="Y73" s="66"/>
      <c r="Z73" s="66"/>
    </row>
    <row r="74" spans="1:26" ht="30.75" customHeight="1" x14ac:dyDescent="0.25">
      <c r="A74" s="72" t="s">
        <v>241</v>
      </c>
      <c r="B74" s="125">
        <v>305</v>
      </c>
      <c r="C74" s="201">
        <f>SUM(D74:W74)</f>
        <v>3188278.52</v>
      </c>
      <c r="D74" s="74">
        <f>'3.13.6'!J21</f>
        <v>653828.52</v>
      </c>
      <c r="E74" s="74"/>
      <c r="F74" s="74">
        <f>'3.13.6'!J31</f>
        <v>90000</v>
      </c>
      <c r="G74" s="73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>
        <f>'3.13.6'!J39</f>
        <v>2420000</v>
      </c>
      <c r="W74" s="74">
        <f>'3.13.6'!J59</f>
        <v>24450</v>
      </c>
      <c r="X74" s="66"/>
      <c r="Y74" s="66"/>
      <c r="Z74" s="66"/>
    </row>
    <row r="75" spans="1:26" ht="26.25" customHeight="1" x14ac:dyDescent="0.25">
      <c r="A75" s="72" t="s">
        <v>242</v>
      </c>
      <c r="B75" s="125">
        <v>306</v>
      </c>
      <c r="C75" s="73"/>
      <c r="D75" s="74"/>
      <c r="E75" s="74"/>
      <c r="F75" s="74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66"/>
      <c r="Y75" s="66"/>
      <c r="Z75" s="66"/>
    </row>
    <row r="76" spans="1:26" ht="60" customHeight="1" x14ac:dyDescent="0.25">
      <c r="A76" s="72" t="s">
        <v>243</v>
      </c>
      <c r="B76" s="125">
        <v>307</v>
      </c>
      <c r="C76" s="73"/>
      <c r="D76" s="74"/>
      <c r="E76" s="74"/>
      <c r="F76" s="74"/>
      <c r="G76" s="73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66"/>
      <c r="Y76" s="66"/>
      <c r="Z76" s="66"/>
    </row>
    <row r="77" spans="1:26" ht="33.75" customHeight="1" x14ac:dyDescent="0.25">
      <c r="A77" s="72" t="s">
        <v>340</v>
      </c>
      <c r="B77" s="125">
        <v>308</v>
      </c>
      <c r="C77" s="201">
        <f>SUM(D77:W77)</f>
        <v>11102822</v>
      </c>
      <c r="D77" s="74">
        <f>'3.13.9'!G20</f>
        <v>188000</v>
      </c>
      <c r="E77" s="74">
        <f>'3.13.9'!G32</f>
        <v>72500</v>
      </c>
      <c r="F77" s="74">
        <f>'3.13.9'!G42</f>
        <v>210000</v>
      </c>
      <c r="G77" s="73"/>
      <c r="H77" s="74">
        <f>'3.13.9'!G66</f>
        <v>22000</v>
      </c>
      <c r="I77" s="74"/>
      <c r="J77" s="74"/>
      <c r="K77" s="74">
        <f>'3.13.9'!G109</f>
        <v>1417373</v>
      </c>
      <c r="L77" s="74">
        <f>'3.13.9'!G125</f>
        <v>3470110</v>
      </c>
      <c r="M77" s="74">
        <f>'3.13.9'!G74</f>
        <v>350623</v>
      </c>
      <c r="N77" s="74"/>
      <c r="O77" s="74"/>
      <c r="P77" s="74">
        <f>'3.13.9'!G87</f>
        <v>150154</v>
      </c>
      <c r="Q77" s="74"/>
      <c r="R77" s="74"/>
      <c r="S77" s="74"/>
      <c r="T77" s="74">
        <f>'3.13.9'!G95</f>
        <v>5217170</v>
      </c>
      <c r="U77" s="74">
        <f>'3.13.9'!G135</f>
        <v>4892</v>
      </c>
      <c r="V77" s="74"/>
      <c r="W77" s="74"/>
      <c r="X77" s="66"/>
      <c r="Y77" s="66"/>
      <c r="Z77" s="66"/>
    </row>
    <row r="78" spans="1:26" ht="42.75" customHeight="1" x14ac:dyDescent="0.25">
      <c r="A78" s="72" t="s">
        <v>244</v>
      </c>
      <c r="B78" s="125">
        <v>309</v>
      </c>
      <c r="C78" s="201">
        <f>SUM(D78:W78)</f>
        <v>2327680.79</v>
      </c>
      <c r="D78" s="74"/>
      <c r="E78" s="74"/>
      <c r="F78" s="74"/>
      <c r="G78" s="74"/>
      <c r="H78" s="74"/>
      <c r="I78" s="74"/>
      <c r="J78" s="74">
        <v>1874780</v>
      </c>
      <c r="K78" s="74"/>
      <c r="L78" s="74"/>
      <c r="M78" s="74"/>
      <c r="N78" s="74">
        <v>13700</v>
      </c>
      <c r="O78" s="74"/>
      <c r="P78" s="74"/>
      <c r="Q78" s="74"/>
      <c r="R78" s="74"/>
      <c r="S78" s="74">
        <v>439200.79</v>
      </c>
      <c r="T78" s="74"/>
      <c r="U78" s="74"/>
      <c r="V78" s="74"/>
      <c r="W78" s="74"/>
      <c r="X78" s="66"/>
      <c r="Y78" s="66"/>
      <c r="Z78" s="66"/>
    </row>
    <row r="79" spans="1:26" ht="68.25" customHeight="1" x14ac:dyDescent="0.25">
      <c r="A79" s="72" t="s">
        <v>245</v>
      </c>
      <c r="B79" s="125">
        <v>310</v>
      </c>
      <c r="C79" s="201">
        <f>SUM(D79:W79)</f>
        <v>1552161.49</v>
      </c>
      <c r="D79" s="74">
        <v>169061.49</v>
      </c>
      <c r="E79" s="74">
        <v>518600</v>
      </c>
      <c r="F79" s="74">
        <v>202620</v>
      </c>
      <c r="G79" s="74"/>
      <c r="H79" s="74">
        <v>35970</v>
      </c>
      <c r="I79" s="74">
        <v>22750</v>
      </c>
      <c r="J79" s="74"/>
      <c r="K79" s="74"/>
      <c r="L79" s="74"/>
      <c r="M79" s="74"/>
      <c r="N79" s="74"/>
      <c r="O79" s="74">
        <v>20160</v>
      </c>
      <c r="P79" s="74"/>
      <c r="Q79" s="74">
        <v>50400</v>
      </c>
      <c r="R79" s="74">
        <v>532600</v>
      </c>
      <c r="S79" s="197"/>
      <c r="T79" s="74"/>
      <c r="U79" s="74"/>
      <c r="V79" s="74"/>
      <c r="W79" s="74"/>
      <c r="X79" s="66"/>
      <c r="Y79" s="66"/>
      <c r="Z79" s="66"/>
    </row>
    <row r="80" spans="1:26" ht="153" customHeight="1" x14ac:dyDescent="0.25">
      <c r="A80" s="72" t="s">
        <v>246</v>
      </c>
      <c r="B80" s="125">
        <v>400</v>
      </c>
      <c r="C80" s="125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66"/>
      <c r="Y80" s="66"/>
      <c r="Z80" s="66"/>
    </row>
    <row r="81" spans="1:33" ht="117.75" customHeight="1" x14ac:dyDescent="0.25">
      <c r="A81" s="72" t="s">
        <v>247</v>
      </c>
      <c r="B81" s="125">
        <v>500</v>
      </c>
      <c r="C81" s="125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66"/>
      <c r="Y81" s="66"/>
      <c r="Z81" s="66"/>
    </row>
    <row r="82" spans="1:33" ht="81" customHeight="1" x14ac:dyDescent="0.25">
      <c r="A82" s="185" t="s">
        <v>248</v>
      </c>
      <c r="B82" s="182">
        <v>600</v>
      </c>
      <c r="C82" s="198">
        <f>C68</f>
        <v>23623269.43</v>
      </c>
      <c r="D82" s="202">
        <f t="shared" ref="D82:S82" si="2">D68</f>
        <v>5878355</v>
      </c>
      <c r="E82" s="202">
        <f t="shared" si="2"/>
        <v>591100</v>
      </c>
      <c r="F82" s="202">
        <f t="shared" si="2"/>
        <v>527620</v>
      </c>
      <c r="G82" s="202">
        <f t="shared" si="2"/>
        <v>63397</v>
      </c>
      <c r="H82" s="202">
        <f t="shared" si="2"/>
        <v>57970</v>
      </c>
      <c r="I82" s="270">
        <f t="shared" si="2"/>
        <v>22750</v>
      </c>
      <c r="J82" s="202">
        <f t="shared" si="2"/>
        <v>1874780</v>
      </c>
      <c r="K82" s="202">
        <f t="shared" si="2"/>
        <v>1417373</v>
      </c>
      <c r="L82" s="202">
        <f t="shared" si="2"/>
        <v>3470110</v>
      </c>
      <c r="M82" s="202">
        <f t="shared" si="2"/>
        <v>350623</v>
      </c>
      <c r="N82" s="202">
        <f>N68</f>
        <v>13700</v>
      </c>
      <c r="O82" s="202">
        <f t="shared" si="2"/>
        <v>20160</v>
      </c>
      <c r="P82" s="202">
        <f t="shared" si="2"/>
        <v>150154</v>
      </c>
      <c r="Q82" s="202">
        <f t="shared" si="2"/>
        <v>50400</v>
      </c>
      <c r="R82" s="202">
        <f>R68</f>
        <v>532600</v>
      </c>
      <c r="S82" s="202">
        <f t="shared" si="2"/>
        <v>935665.42999999993</v>
      </c>
      <c r="T82" s="202">
        <f>T68</f>
        <v>5217170</v>
      </c>
      <c r="U82" s="202">
        <f>U68</f>
        <v>4892</v>
      </c>
      <c r="V82" s="202">
        <f>V68</f>
        <v>2420000</v>
      </c>
      <c r="W82" s="202">
        <f>W68</f>
        <v>24450</v>
      </c>
      <c r="X82" s="66"/>
      <c r="Y82" s="66"/>
      <c r="Z82" s="66"/>
    </row>
    <row r="83" spans="1:33" ht="18.75" x14ac:dyDescent="0.3">
      <c r="A83" s="75"/>
      <c r="B83" s="75"/>
      <c r="C83" s="75"/>
      <c r="D83" s="75"/>
      <c r="E83" s="75"/>
      <c r="F83" s="75"/>
      <c r="G83" s="75"/>
      <c r="H83" s="75"/>
      <c r="I83" s="75"/>
      <c r="J83" s="269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66"/>
      <c r="AF83" s="66"/>
      <c r="AG83" s="66"/>
    </row>
    <row r="84" spans="1:33" ht="18.75" hidden="1" x14ac:dyDescent="0.3">
      <c r="A84" s="75"/>
      <c r="B84" s="75"/>
      <c r="C84" s="75"/>
      <c r="D84" s="75"/>
      <c r="E84" s="75"/>
      <c r="F84" s="75"/>
      <c r="G84" s="75"/>
      <c r="H84" s="75"/>
      <c r="I84" s="75"/>
      <c r="J84" s="282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66"/>
      <c r="AF84" s="66"/>
      <c r="AG84" s="66"/>
    </row>
    <row r="85" spans="1:33" ht="18.75" hidden="1" x14ac:dyDescent="0.3">
      <c r="A85" s="75"/>
      <c r="B85" s="75"/>
      <c r="C85" s="75"/>
      <c r="D85" s="75"/>
      <c r="E85" s="75"/>
      <c r="F85" s="75"/>
      <c r="G85" s="75"/>
      <c r="H85" s="75"/>
      <c r="I85" s="75"/>
      <c r="J85" s="282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66"/>
      <c r="AF85" s="66"/>
      <c r="AG85" s="66"/>
    </row>
    <row r="86" spans="1:33" ht="18.75" hidden="1" x14ac:dyDescent="0.3">
      <c r="A86" s="75"/>
      <c r="B86" s="75"/>
      <c r="C86" s="75"/>
      <c r="D86" s="75"/>
      <c r="E86" s="75"/>
      <c r="F86" s="75"/>
      <c r="G86" s="75"/>
      <c r="H86" s="75"/>
      <c r="I86" s="75"/>
      <c r="J86" s="282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66"/>
      <c r="AF86" s="66"/>
      <c r="AG86" s="66"/>
    </row>
    <row r="87" spans="1:33" ht="18.75" hidden="1" x14ac:dyDescent="0.3">
      <c r="A87" s="75"/>
      <c r="B87" s="75"/>
      <c r="C87" s="75"/>
      <c r="D87" s="75"/>
      <c r="E87" s="75"/>
      <c r="F87" s="75"/>
      <c r="G87" s="75"/>
      <c r="H87" s="75"/>
      <c r="I87" s="75"/>
      <c r="J87" s="282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66"/>
      <c r="AF87" s="66"/>
      <c r="AG87" s="66"/>
    </row>
    <row r="88" spans="1:33" ht="18.75" hidden="1" x14ac:dyDescent="0.3">
      <c r="A88" s="75"/>
      <c r="B88" s="75"/>
      <c r="C88" s="75"/>
      <c r="D88" s="75"/>
      <c r="E88" s="75"/>
      <c r="F88" s="75"/>
      <c r="G88" s="75"/>
      <c r="H88" s="75"/>
      <c r="I88" s="75"/>
      <c r="J88" s="282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66"/>
      <c r="AF88" s="66"/>
      <c r="AG88" s="66"/>
    </row>
    <row r="89" spans="1:33" ht="18.75" hidden="1" x14ac:dyDescent="0.3">
      <c r="A89" s="75"/>
      <c r="B89" s="75"/>
      <c r="C89" s="75"/>
      <c r="D89" s="75"/>
      <c r="E89" s="75"/>
      <c r="F89" s="75"/>
      <c r="G89" s="75"/>
      <c r="H89" s="75"/>
      <c r="I89" s="75"/>
      <c r="J89" s="282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66"/>
      <c r="AF89" s="66"/>
      <c r="AG89" s="66"/>
    </row>
    <row r="90" spans="1:33" ht="18.75" hidden="1" x14ac:dyDescent="0.3">
      <c r="A90" s="75"/>
      <c r="B90" s="75"/>
      <c r="C90" s="75"/>
      <c r="D90" s="75"/>
      <c r="E90" s="75"/>
      <c r="F90" s="75"/>
      <c r="G90" s="75"/>
      <c r="H90" s="75"/>
      <c r="I90" s="75"/>
      <c r="J90" s="282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66"/>
      <c r="AF90" s="66"/>
      <c r="AG90" s="66"/>
    </row>
    <row r="91" spans="1:33" ht="17.25" hidden="1" customHeight="1" x14ac:dyDescent="0.3">
      <c r="A91" s="75"/>
      <c r="B91" s="75"/>
      <c r="C91" s="75"/>
      <c r="D91" s="75"/>
      <c r="E91" s="75"/>
      <c r="F91" s="75"/>
      <c r="G91" s="75"/>
      <c r="H91" s="75"/>
      <c r="I91" s="75"/>
      <c r="J91" s="282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66"/>
      <c r="AF91" s="66"/>
      <c r="AG91" s="66"/>
    </row>
    <row r="92" spans="1:33" ht="18.75" hidden="1" x14ac:dyDescent="0.3">
      <c r="A92" s="75"/>
      <c r="B92" s="75"/>
      <c r="C92" s="75"/>
      <c r="D92" s="75"/>
      <c r="E92" s="75"/>
      <c r="F92" s="75"/>
      <c r="G92" s="75"/>
      <c r="H92" s="75"/>
      <c r="I92" s="75"/>
      <c r="J92" s="282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66"/>
      <c r="AF92" s="66"/>
      <c r="AG92" s="66"/>
    </row>
    <row r="93" spans="1:33" ht="18.75" hidden="1" x14ac:dyDescent="0.3">
      <c r="A93" s="75"/>
      <c r="B93" s="75"/>
      <c r="C93" s="75"/>
      <c r="D93" s="75"/>
      <c r="E93" s="75"/>
      <c r="F93" s="75"/>
      <c r="G93" s="75"/>
      <c r="H93" s="75"/>
      <c r="I93" s="75"/>
      <c r="J93" s="282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66"/>
      <c r="AF93" s="66"/>
      <c r="AG93" s="66"/>
    </row>
    <row r="94" spans="1:33" ht="18.75" hidden="1" x14ac:dyDescent="0.3">
      <c r="A94" s="75"/>
      <c r="B94" s="75"/>
      <c r="C94" s="75"/>
      <c r="D94" s="75"/>
      <c r="E94" s="75"/>
      <c r="F94" s="75"/>
      <c r="G94" s="75"/>
      <c r="H94" s="75"/>
      <c r="I94" s="75"/>
      <c r="J94" s="282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66"/>
      <c r="AF94" s="66"/>
      <c r="AG94" s="66"/>
    </row>
    <row r="95" spans="1:33" ht="18.75" hidden="1" x14ac:dyDescent="0.3">
      <c r="A95" s="75"/>
      <c r="B95" s="75"/>
      <c r="C95" s="75"/>
      <c r="D95" s="75"/>
      <c r="E95" s="75"/>
      <c r="F95" s="75"/>
      <c r="G95" s="75"/>
      <c r="H95" s="75"/>
      <c r="I95" s="75"/>
      <c r="J95" s="282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66"/>
      <c r="AF95" s="66"/>
      <c r="AG95" s="66"/>
    </row>
    <row r="96" spans="1:33" ht="18.75" hidden="1" x14ac:dyDescent="0.3">
      <c r="A96" s="75"/>
      <c r="B96" s="75"/>
      <c r="C96" s="75"/>
      <c r="D96" s="75"/>
      <c r="E96" s="75"/>
      <c r="F96" s="75"/>
      <c r="G96" s="75"/>
      <c r="H96" s="75"/>
      <c r="I96" s="75"/>
      <c r="J96" s="282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66"/>
      <c r="AF96" s="66"/>
      <c r="AG96" s="66"/>
    </row>
    <row r="97" spans="1:33" ht="18.75" hidden="1" x14ac:dyDescent="0.3">
      <c r="A97" s="75"/>
      <c r="B97" s="75"/>
      <c r="C97" s="75"/>
      <c r="D97" s="75"/>
      <c r="E97" s="75"/>
      <c r="F97" s="75"/>
      <c r="G97" s="75"/>
      <c r="H97" s="75"/>
      <c r="I97" s="75"/>
      <c r="J97" s="282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66"/>
      <c r="AF97" s="66"/>
      <c r="AG97" s="66"/>
    </row>
    <row r="98" spans="1:33" ht="18.75" hidden="1" x14ac:dyDescent="0.3">
      <c r="A98" s="75"/>
      <c r="B98" s="75"/>
      <c r="C98" s="75"/>
      <c r="D98" s="75"/>
      <c r="E98" s="75"/>
      <c r="F98" s="75"/>
      <c r="G98" s="75"/>
      <c r="H98" s="75"/>
      <c r="I98" s="75"/>
      <c r="J98" s="282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66"/>
      <c r="AF98" s="66"/>
      <c r="AG98" s="66"/>
    </row>
    <row r="99" spans="1:33" ht="18.75" hidden="1" x14ac:dyDescent="0.3">
      <c r="A99" s="75"/>
      <c r="B99" s="75"/>
      <c r="C99" s="75"/>
      <c r="D99" s="75"/>
      <c r="E99" s="75"/>
      <c r="F99" s="75"/>
      <c r="G99" s="75"/>
      <c r="H99" s="75"/>
      <c r="I99" s="75"/>
      <c r="J99" s="282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66"/>
      <c r="AF99" s="66"/>
      <c r="AG99" s="66"/>
    </row>
    <row r="100" spans="1:33" ht="18.75" hidden="1" x14ac:dyDescent="0.3">
      <c r="A100" s="75"/>
      <c r="B100" s="75"/>
      <c r="C100" s="75"/>
      <c r="D100" s="75"/>
      <c r="E100" s="75"/>
      <c r="F100" s="75"/>
      <c r="G100" s="75"/>
      <c r="H100" s="75"/>
      <c r="I100" s="75"/>
      <c r="J100" s="282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66"/>
      <c r="AF100" s="66"/>
      <c r="AG100" s="66"/>
    </row>
    <row r="101" spans="1:33" ht="18.75" hidden="1" x14ac:dyDescent="0.3">
      <c r="A101" s="75"/>
      <c r="B101" s="75"/>
      <c r="C101" s="75"/>
      <c r="D101" s="75"/>
      <c r="E101" s="75"/>
      <c r="F101" s="75"/>
      <c r="G101" s="75"/>
      <c r="H101" s="75"/>
      <c r="I101" s="75"/>
      <c r="J101" s="282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66"/>
      <c r="AF101" s="66"/>
      <c r="AG101" s="66"/>
    </row>
    <row r="102" spans="1:33" ht="18.75" hidden="1" x14ac:dyDescent="0.3">
      <c r="A102" s="75"/>
      <c r="B102" s="75"/>
      <c r="C102" s="75"/>
      <c r="D102" s="75"/>
      <c r="E102" s="75"/>
      <c r="F102" s="75"/>
      <c r="G102" s="75"/>
      <c r="H102" s="75"/>
      <c r="I102" s="75"/>
      <c r="J102" s="282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66"/>
      <c r="AF102" s="66"/>
      <c r="AG102" s="66"/>
    </row>
    <row r="103" spans="1:33" ht="18.75" hidden="1" x14ac:dyDescent="0.3">
      <c r="A103" s="75"/>
      <c r="B103" s="75"/>
      <c r="C103" s="75"/>
      <c r="D103" s="75"/>
      <c r="E103" s="75"/>
      <c r="F103" s="75"/>
      <c r="G103" s="75"/>
      <c r="H103" s="75"/>
      <c r="I103" s="75"/>
      <c r="J103" s="282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66"/>
      <c r="AF103" s="66"/>
      <c r="AG103" s="66"/>
    </row>
    <row r="104" spans="1:33" ht="18.75" hidden="1" x14ac:dyDescent="0.3">
      <c r="A104" s="75"/>
      <c r="B104" s="75"/>
      <c r="C104" s="75"/>
      <c r="D104" s="75"/>
      <c r="E104" s="75"/>
      <c r="F104" s="75"/>
      <c r="G104" s="75"/>
      <c r="H104" s="75"/>
      <c r="I104" s="75"/>
      <c r="J104" s="282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66"/>
      <c r="AF104" s="66"/>
      <c r="AG104" s="66"/>
    </row>
    <row r="105" spans="1:33" ht="18.75" hidden="1" x14ac:dyDescent="0.3">
      <c r="A105" s="75"/>
      <c r="B105" s="75"/>
      <c r="C105" s="75"/>
      <c r="D105" s="75"/>
      <c r="E105" s="75"/>
      <c r="F105" s="75"/>
      <c r="G105" s="75"/>
      <c r="H105" s="75"/>
      <c r="I105" s="75"/>
      <c r="J105" s="282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66"/>
      <c r="AF105" s="66"/>
      <c r="AG105" s="66"/>
    </row>
    <row r="106" spans="1:33" ht="18.75" hidden="1" x14ac:dyDescent="0.3">
      <c r="A106" s="75"/>
      <c r="B106" s="75"/>
      <c r="C106" s="75"/>
      <c r="D106" s="75"/>
      <c r="E106" s="75"/>
      <c r="F106" s="75"/>
      <c r="G106" s="75"/>
      <c r="H106" s="75"/>
      <c r="I106" s="75"/>
      <c r="J106" s="282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66"/>
      <c r="AF106" s="66"/>
      <c r="AG106" s="66"/>
    </row>
    <row r="107" spans="1:33" ht="18.75" hidden="1" x14ac:dyDescent="0.3">
      <c r="A107" s="75"/>
      <c r="B107" s="75"/>
      <c r="C107" s="75"/>
      <c r="D107" s="75"/>
      <c r="E107" s="75"/>
      <c r="F107" s="75"/>
      <c r="G107" s="75"/>
      <c r="H107" s="75"/>
      <c r="I107" s="75"/>
      <c r="J107" s="282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66"/>
      <c r="AF107" s="66"/>
      <c r="AG107" s="66"/>
    </row>
    <row r="108" spans="1:33" ht="18.75" hidden="1" x14ac:dyDescent="0.3">
      <c r="A108" s="75"/>
      <c r="B108" s="75"/>
      <c r="C108" s="75"/>
      <c r="D108" s="75"/>
      <c r="E108" s="75"/>
      <c r="F108" s="75"/>
      <c r="G108" s="75"/>
      <c r="H108" s="75"/>
      <c r="I108" s="75"/>
      <c r="J108" s="282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66"/>
      <c r="AF108" s="66"/>
      <c r="AG108" s="66"/>
    </row>
    <row r="109" spans="1:33" ht="18.75" hidden="1" x14ac:dyDescent="0.3">
      <c r="A109" s="75"/>
      <c r="B109" s="75"/>
      <c r="C109" s="75"/>
      <c r="D109" s="75"/>
      <c r="E109" s="75"/>
      <c r="F109" s="75"/>
      <c r="G109" s="75"/>
      <c r="H109" s="75"/>
      <c r="I109" s="75"/>
      <c r="J109" s="282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66"/>
      <c r="AF109" s="66"/>
      <c r="AG109" s="66"/>
    </row>
    <row r="110" spans="1:33" ht="18.75" hidden="1" x14ac:dyDescent="0.3">
      <c r="A110" s="75"/>
      <c r="B110" s="75"/>
      <c r="C110" s="75"/>
      <c r="D110" s="75"/>
      <c r="E110" s="75"/>
      <c r="F110" s="75"/>
      <c r="G110" s="75"/>
      <c r="H110" s="75"/>
      <c r="I110" s="75"/>
      <c r="J110" s="282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66"/>
      <c r="AF110" s="66"/>
      <c r="AG110" s="66"/>
    </row>
    <row r="111" spans="1:33" ht="18.75" hidden="1" x14ac:dyDescent="0.3">
      <c r="A111" s="75"/>
      <c r="B111" s="75"/>
      <c r="C111" s="75"/>
      <c r="D111" s="75"/>
      <c r="E111" s="75"/>
      <c r="F111" s="75"/>
      <c r="G111" s="75"/>
      <c r="H111" s="75"/>
      <c r="I111" s="75"/>
      <c r="J111" s="282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66"/>
      <c r="AF111" s="66"/>
      <c r="AG111" s="66"/>
    </row>
    <row r="112" spans="1:33" ht="18.75" hidden="1" x14ac:dyDescent="0.3">
      <c r="A112" s="75"/>
      <c r="B112" s="75"/>
      <c r="C112" s="75"/>
      <c r="D112" s="75"/>
      <c r="E112" s="75"/>
      <c r="F112" s="75"/>
      <c r="G112" s="75"/>
      <c r="H112" s="75"/>
      <c r="I112" s="75"/>
      <c r="J112" s="282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66"/>
      <c r="AF112" s="66"/>
      <c r="AG112" s="66"/>
    </row>
    <row r="113" spans="1:33" ht="18.75" x14ac:dyDescent="0.3">
      <c r="A113" s="75"/>
      <c r="B113" s="75"/>
      <c r="C113" s="75"/>
      <c r="D113" s="75"/>
      <c r="E113" s="75"/>
      <c r="F113" s="75"/>
      <c r="G113" s="75"/>
      <c r="H113" s="75"/>
      <c r="I113" s="75"/>
      <c r="J113" s="282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66"/>
      <c r="AF113" s="66"/>
      <c r="AG113" s="66"/>
    </row>
    <row r="114" spans="1:33" ht="18.75" x14ac:dyDescent="0.3">
      <c r="A114" s="414" t="s">
        <v>0</v>
      </c>
      <c r="B114" s="414" t="s">
        <v>1</v>
      </c>
      <c r="C114" s="262" t="s">
        <v>113</v>
      </c>
      <c r="D114" s="263"/>
      <c r="E114" s="263"/>
      <c r="F114" s="263"/>
      <c r="G114" s="263"/>
      <c r="H114" s="263"/>
      <c r="I114" s="263"/>
      <c r="J114" s="287"/>
      <c r="K114" s="263"/>
      <c r="L114" s="263"/>
      <c r="M114" s="263"/>
      <c r="N114" s="263"/>
      <c r="O114" s="263"/>
      <c r="P114" s="263"/>
      <c r="Q114" s="263"/>
      <c r="R114" s="263"/>
      <c r="S114" s="263"/>
      <c r="T114" s="263"/>
      <c r="U114" s="263"/>
      <c r="V114" s="263"/>
      <c r="W114" s="263"/>
      <c r="X114" s="263"/>
      <c r="Y114" s="263"/>
      <c r="Z114" s="263"/>
      <c r="AA114" s="263"/>
      <c r="AB114" s="263"/>
      <c r="AC114" s="263"/>
      <c r="AD114" s="263"/>
      <c r="AE114" s="66"/>
      <c r="AF114" s="66"/>
      <c r="AG114" s="66"/>
    </row>
    <row r="115" spans="1:33" ht="18.75" x14ac:dyDescent="0.25">
      <c r="A115" s="420"/>
      <c r="B115" s="420"/>
      <c r="C115" s="264" t="s">
        <v>583</v>
      </c>
      <c r="D115" s="261"/>
      <c r="E115" s="261"/>
      <c r="F115" s="261"/>
      <c r="G115" s="261"/>
      <c r="H115" s="261"/>
      <c r="I115" s="261"/>
      <c r="J115" s="271"/>
      <c r="K115" s="261"/>
      <c r="L115" s="303"/>
      <c r="M115" s="261"/>
      <c r="N115" s="261"/>
      <c r="O115" s="261"/>
      <c r="P115" s="261"/>
      <c r="Q115" s="261"/>
      <c r="R115" s="261"/>
      <c r="S115" s="261"/>
      <c r="T115" s="261"/>
      <c r="U115" s="261"/>
      <c r="V115" s="261"/>
      <c r="W115" s="261"/>
      <c r="X115" s="261"/>
      <c r="Y115" s="261"/>
      <c r="Z115" s="261"/>
      <c r="AA115" s="261"/>
      <c r="AB115" s="261"/>
      <c r="AC115" s="261"/>
      <c r="AD115" s="265"/>
      <c r="AE115" s="66"/>
      <c r="AF115" s="66"/>
      <c r="AG115" s="66"/>
    </row>
    <row r="116" spans="1:33" ht="18.75" customHeight="1" x14ac:dyDescent="0.25">
      <c r="A116" s="420"/>
      <c r="B116" s="420"/>
      <c r="C116" s="264" t="s">
        <v>75</v>
      </c>
      <c r="D116" s="261"/>
      <c r="E116" s="261"/>
      <c r="F116" s="261"/>
      <c r="G116" s="261"/>
      <c r="H116" s="261"/>
      <c r="I116" s="261"/>
      <c r="J116" s="271"/>
      <c r="K116" s="261"/>
      <c r="L116" s="303"/>
      <c r="M116" s="261"/>
      <c r="N116" s="261"/>
      <c r="O116" s="261"/>
      <c r="P116" s="261"/>
      <c r="Q116" s="261"/>
      <c r="R116" s="261"/>
      <c r="S116" s="261"/>
      <c r="T116" s="261"/>
      <c r="U116" s="261"/>
      <c r="V116" s="261"/>
      <c r="W116" s="261"/>
      <c r="X116" s="261"/>
      <c r="Y116" s="261"/>
      <c r="Z116" s="261"/>
      <c r="AA116" s="261"/>
      <c r="AB116" s="261"/>
      <c r="AC116" s="261"/>
      <c r="AD116" s="265"/>
      <c r="AE116" s="66"/>
      <c r="AF116" s="66"/>
      <c r="AG116" s="66"/>
    </row>
    <row r="117" spans="1:33" ht="115.5" customHeight="1" x14ac:dyDescent="0.25">
      <c r="A117" s="415"/>
      <c r="B117" s="415"/>
      <c r="C117" s="125" t="s">
        <v>331</v>
      </c>
      <c r="D117" s="206" t="s">
        <v>434</v>
      </c>
      <c r="E117" s="206" t="s">
        <v>329</v>
      </c>
      <c r="F117" s="206" t="s">
        <v>471</v>
      </c>
      <c r="G117" s="206" t="s">
        <v>473</v>
      </c>
      <c r="H117" s="206" t="s">
        <v>474</v>
      </c>
      <c r="I117" s="206" t="s">
        <v>475</v>
      </c>
      <c r="J117" s="206" t="s">
        <v>477</v>
      </c>
      <c r="K117" s="206" t="s">
        <v>520</v>
      </c>
      <c r="L117" s="206" t="s">
        <v>519</v>
      </c>
      <c r="M117" s="206" t="s">
        <v>483</v>
      </c>
      <c r="N117" s="206" t="s">
        <v>497</v>
      </c>
      <c r="O117" s="206" t="s">
        <v>491</v>
      </c>
      <c r="P117" s="206" t="s">
        <v>493</v>
      </c>
      <c r="Q117" s="206" t="s">
        <v>494</v>
      </c>
      <c r="R117" s="206" t="s">
        <v>618</v>
      </c>
      <c r="S117" s="206" t="s">
        <v>573</v>
      </c>
      <c r="T117" s="206" t="s">
        <v>574</v>
      </c>
      <c r="U117" s="206" t="s">
        <v>524</v>
      </c>
      <c r="V117" s="206" t="s">
        <v>580</v>
      </c>
      <c r="W117" s="206" t="s">
        <v>601</v>
      </c>
      <c r="X117" s="207"/>
      <c r="Y117" s="207"/>
      <c r="Z117" s="207"/>
      <c r="AA117" s="203"/>
      <c r="AB117" s="66"/>
      <c r="AC117" s="66"/>
      <c r="AD117" s="66"/>
    </row>
    <row r="118" spans="1:33" ht="26.25" customHeight="1" x14ac:dyDescent="0.25">
      <c r="A118" s="125">
        <v>1</v>
      </c>
      <c r="B118" s="125">
        <v>2</v>
      </c>
      <c r="C118" s="125"/>
      <c r="D118" s="125">
        <v>3</v>
      </c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231"/>
      <c r="T118" s="231"/>
      <c r="U118" s="231"/>
      <c r="V118" s="305"/>
      <c r="W118" s="305"/>
      <c r="X118" s="209"/>
      <c r="Y118" s="203"/>
      <c r="Z118" s="203"/>
      <c r="AA118" s="203"/>
      <c r="AB118" s="66"/>
      <c r="AC118" s="66"/>
      <c r="AD118" s="66"/>
    </row>
    <row r="119" spans="1:33" ht="157.5" customHeight="1" x14ac:dyDescent="0.25">
      <c r="A119" s="72" t="s">
        <v>234</v>
      </c>
      <c r="B119" s="125">
        <v>100</v>
      </c>
      <c r="C119" s="125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205"/>
      <c r="Y119" s="204"/>
      <c r="Z119" s="204"/>
      <c r="AA119" s="204"/>
      <c r="AB119" s="66"/>
      <c r="AC119" s="66"/>
      <c r="AD119" s="66"/>
    </row>
    <row r="120" spans="1:33" ht="112.5" customHeight="1" x14ac:dyDescent="0.25">
      <c r="A120" s="72" t="s">
        <v>235</v>
      </c>
      <c r="B120" s="125">
        <v>200</v>
      </c>
      <c r="C120" s="313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205"/>
      <c r="Y120" s="204"/>
      <c r="Z120" s="204"/>
      <c r="AA120" s="204"/>
      <c r="AB120" s="66"/>
      <c r="AC120" s="66"/>
      <c r="AD120" s="66"/>
    </row>
    <row r="121" spans="1:33" ht="51" customHeight="1" x14ac:dyDescent="0.25">
      <c r="A121" s="72" t="s">
        <v>236</v>
      </c>
      <c r="B121" s="125">
        <v>300</v>
      </c>
      <c r="C121" s="248">
        <f>SUM(D121:W121)</f>
        <v>23044488.659999996</v>
      </c>
      <c r="D121" s="243">
        <f>D125+D127+D130+D132</f>
        <v>5695919.8799999999</v>
      </c>
      <c r="E121" s="243">
        <f>E130+E132</f>
        <v>591100</v>
      </c>
      <c r="F121" s="243">
        <f>F122+F127+F130+F132</f>
        <v>527620</v>
      </c>
      <c r="G121" s="243">
        <f>G122+G127+G130+G132</f>
        <v>63397</v>
      </c>
      <c r="H121" s="243">
        <f>H130+H132</f>
        <v>57970</v>
      </c>
      <c r="I121" s="243">
        <f>I130+I132</f>
        <v>22750</v>
      </c>
      <c r="J121" s="243">
        <f>J131</f>
        <v>1874780</v>
      </c>
      <c r="K121" s="243">
        <f>K130</f>
        <v>1450347.02</v>
      </c>
      <c r="L121" s="243">
        <f>L130</f>
        <v>3550838.48</v>
      </c>
      <c r="M121" s="243">
        <f>M130</f>
        <v>350623</v>
      </c>
      <c r="N121" s="243">
        <f>N132</f>
        <v>532600</v>
      </c>
      <c r="O121" s="243">
        <f>O132</f>
        <v>20160</v>
      </c>
      <c r="P121" s="243">
        <f>P130</f>
        <v>150154</v>
      </c>
      <c r="Q121" s="243">
        <f>Q132</f>
        <v>50400</v>
      </c>
      <c r="R121" s="243">
        <f>R131</f>
        <v>439200.79</v>
      </c>
      <c r="S121" s="243">
        <f>S131</f>
        <v>0</v>
      </c>
      <c r="T121" s="243">
        <f>T130</f>
        <v>5217170</v>
      </c>
      <c r="U121" s="243">
        <f>U130</f>
        <v>5008.49</v>
      </c>
      <c r="V121" s="243">
        <f>V127</f>
        <v>2420000</v>
      </c>
      <c r="W121" s="243">
        <f>W127</f>
        <v>24450</v>
      </c>
      <c r="X121" s="208"/>
      <c r="Y121" s="208"/>
      <c r="Z121" s="208"/>
      <c r="AA121" s="204"/>
      <c r="AB121" s="66"/>
      <c r="AC121" s="66"/>
      <c r="AD121" s="66"/>
    </row>
    <row r="122" spans="1:33" ht="30.75" customHeight="1" x14ac:dyDescent="0.25">
      <c r="A122" s="72" t="s">
        <v>14</v>
      </c>
      <c r="B122" s="407">
        <v>301</v>
      </c>
      <c r="C122" s="421">
        <f>SUM(D122:AA123)</f>
        <v>88397</v>
      </c>
      <c r="D122" s="414"/>
      <c r="E122" s="414"/>
      <c r="F122" s="419">
        <f>'3.13.2'!N6</f>
        <v>25000</v>
      </c>
      <c r="G122" s="419">
        <f>'3.13.2'!N7</f>
        <v>63397</v>
      </c>
      <c r="H122" s="414"/>
      <c r="I122" s="414"/>
      <c r="J122" s="414"/>
      <c r="K122" s="414"/>
      <c r="L122" s="414"/>
      <c r="M122" s="414"/>
      <c r="N122" s="199"/>
      <c r="O122" s="414"/>
      <c r="P122" s="414"/>
      <c r="Q122" s="414"/>
      <c r="R122" s="125"/>
      <c r="S122" s="231"/>
      <c r="T122" s="416"/>
      <c r="U122" s="231"/>
      <c r="V122" s="305"/>
      <c r="W122" s="416"/>
      <c r="X122" s="209"/>
      <c r="Y122" s="406"/>
      <c r="Z122" s="209"/>
      <c r="AA122" s="406"/>
      <c r="AB122" s="66"/>
      <c r="AC122" s="66"/>
      <c r="AD122" s="66"/>
    </row>
    <row r="123" spans="1:33" ht="36" customHeight="1" x14ac:dyDescent="0.25">
      <c r="A123" s="72" t="s">
        <v>237</v>
      </c>
      <c r="B123" s="408"/>
      <c r="C123" s="423"/>
      <c r="D123" s="415"/>
      <c r="E123" s="415"/>
      <c r="F123" s="415"/>
      <c r="G123" s="415"/>
      <c r="H123" s="415"/>
      <c r="I123" s="415"/>
      <c r="J123" s="415"/>
      <c r="K123" s="415"/>
      <c r="L123" s="415"/>
      <c r="M123" s="415"/>
      <c r="N123" s="200"/>
      <c r="O123" s="415"/>
      <c r="P123" s="415"/>
      <c r="Q123" s="415"/>
      <c r="R123" s="125"/>
      <c r="S123" s="231"/>
      <c r="T123" s="416"/>
      <c r="U123" s="231"/>
      <c r="V123" s="305"/>
      <c r="W123" s="416"/>
      <c r="X123" s="209"/>
      <c r="Y123" s="406"/>
      <c r="Z123" s="209"/>
      <c r="AA123" s="406"/>
      <c r="AB123" s="66"/>
      <c r="AC123" s="66"/>
      <c r="AD123" s="66"/>
    </row>
    <row r="124" spans="1:33" ht="27.75" customHeight="1" x14ac:dyDescent="0.25">
      <c r="A124" s="72" t="s">
        <v>238</v>
      </c>
      <c r="B124" s="125">
        <v>302</v>
      </c>
      <c r="C124" s="73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205"/>
      <c r="Y124" s="205"/>
      <c r="Z124" s="205"/>
      <c r="AA124" s="205"/>
      <c r="AB124" s="66"/>
      <c r="AC124" s="66"/>
      <c r="AD124" s="66"/>
    </row>
    <row r="125" spans="1:33" ht="39.75" customHeight="1" x14ac:dyDescent="0.25">
      <c r="A125" s="72" t="s">
        <v>239</v>
      </c>
      <c r="B125" s="125">
        <v>303</v>
      </c>
      <c r="C125" s="201">
        <f>SUM(D125:AA125)</f>
        <v>4685129.88</v>
      </c>
      <c r="D125" s="74">
        <f>'3.13.4'!K20</f>
        <v>4685129.88</v>
      </c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205"/>
      <c r="Y125" s="205"/>
      <c r="Z125" s="205"/>
      <c r="AA125" s="205"/>
      <c r="AB125" s="66"/>
      <c r="AC125" s="66"/>
      <c r="AD125" s="66"/>
    </row>
    <row r="126" spans="1:33" ht="33.75" customHeight="1" x14ac:dyDescent="0.25">
      <c r="A126" s="72" t="s">
        <v>240</v>
      </c>
      <c r="B126" s="125">
        <v>304</v>
      </c>
      <c r="C126" s="73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205"/>
      <c r="Y126" s="205"/>
      <c r="Z126" s="205"/>
      <c r="AA126" s="205"/>
      <c r="AB126" s="66"/>
      <c r="AC126" s="66"/>
      <c r="AD126" s="66"/>
    </row>
    <row r="127" spans="1:33" ht="33" customHeight="1" x14ac:dyDescent="0.25">
      <c r="A127" s="72" t="s">
        <v>241</v>
      </c>
      <c r="B127" s="125">
        <v>305</v>
      </c>
      <c r="C127" s="201">
        <f>SUM(D127:AA127)</f>
        <v>3188278.5300000003</v>
      </c>
      <c r="D127" s="74">
        <f>'3.13.6'!K21</f>
        <v>653828.53</v>
      </c>
      <c r="E127" s="74"/>
      <c r="F127" s="74">
        <f>'3.13.6'!K31</f>
        <v>90000</v>
      </c>
      <c r="G127" s="18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>
        <f>'3.13.6'!K39</f>
        <v>2420000</v>
      </c>
      <c r="W127" s="74">
        <f>'3.13.6'!K59</f>
        <v>24450</v>
      </c>
      <c r="X127" s="205"/>
      <c r="Y127" s="205"/>
      <c r="Z127" s="205"/>
      <c r="AA127" s="205"/>
      <c r="AB127" s="66"/>
      <c r="AC127" s="66"/>
      <c r="AD127" s="66"/>
    </row>
    <row r="128" spans="1:33" ht="24.75" customHeight="1" x14ac:dyDescent="0.25">
      <c r="A128" s="72" t="s">
        <v>242</v>
      </c>
      <c r="B128" s="125">
        <v>306</v>
      </c>
      <c r="C128" s="73"/>
      <c r="D128" s="74"/>
      <c r="E128" s="74"/>
      <c r="F128" s="74"/>
      <c r="G128" s="18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205"/>
      <c r="Y128" s="205"/>
      <c r="Z128" s="205"/>
      <c r="AA128" s="205"/>
      <c r="AB128" s="66"/>
      <c r="AC128" s="66"/>
      <c r="AD128" s="66"/>
    </row>
    <row r="129" spans="1:30" ht="64.5" customHeight="1" x14ac:dyDescent="0.25">
      <c r="A129" s="72" t="s">
        <v>243</v>
      </c>
      <c r="B129" s="125">
        <v>307</v>
      </c>
      <c r="C129" s="73"/>
      <c r="D129" s="74"/>
      <c r="E129" s="74"/>
      <c r="F129" s="74"/>
      <c r="G129" s="18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205"/>
      <c r="Y129" s="205"/>
      <c r="Z129" s="205"/>
      <c r="AA129" s="205"/>
      <c r="AB129" s="66"/>
      <c r="AC129" s="66"/>
      <c r="AD129" s="66"/>
    </row>
    <row r="130" spans="1:30" ht="33.75" customHeight="1" x14ac:dyDescent="0.25">
      <c r="A130" s="72" t="s">
        <v>340</v>
      </c>
      <c r="B130" s="125">
        <v>308</v>
      </c>
      <c r="C130" s="201">
        <f>SUM(D130:AA130)</f>
        <v>11216640.99</v>
      </c>
      <c r="D130" s="74">
        <f>'3.13.9'!H20</f>
        <v>188000</v>
      </c>
      <c r="E130" s="74">
        <f>'3.13.9'!H32</f>
        <v>72500</v>
      </c>
      <c r="F130" s="74">
        <f>'3.13.9'!H42</f>
        <v>210000</v>
      </c>
      <c r="G130" s="184"/>
      <c r="H130" s="74">
        <f>'3.13.9'!H66</f>
        <v>22000</v>
      </c>
      <c r="I130" s="74"/>
      <c r="J130" s="74"/>
      <c r="K130" s="74">
        <f>'3.13.9'!H109</f>
        <v>1450347.02</v>
      </c>
      <c r="L130" s="74">
        <f>'3.13.9'!H125</f>
        <v>3550838.48</v>
      </c>
      <c r="M130" s="74">
        <f>'3.13.9'!H74</f>
        <v>350623</v>
      </c>
      <c r="N130" s="74"/>
      <c r="O130" s="74"/>
      <c r="P130" s="74">
        <f>'3.13.9'!H87</f>
        <v>150154</v>
      </c>
      <c r="Q130" s="74"/>
      <c r="R130" s="74"/>
      <c r="S130" s="74"/>
      <c r="T130" s="74">
        <f>'3.13.9'!H95</f>
        <v>5217170</v>
      </c>
      <c r="U130" s="74">
        <f>'3.13.9'!H135</f>
        <v>5008.49</v>
      </c>
      <c r="V130" s="74"/>
      <c r="W130" s="74"/>
      <c r="X130" s="205"/>
      <c r="Y130" s="205"/>
      <c r="Z130" s="205"/>
      <c r="AA130" s="205"/>
      <c r="AB130" s="66"/>
      <c r="AC130" s="66"/>
      <c r="AD130" s="66"/>
    </row>
    <row r="131" spans="1:30" ht="39" customHeight="1" x14ac:dyDescent="0.25">
      <c r="A131" s="72" t="s">
        <v>244</v>
      </c>
      <c r="B131" s="125">
        <v>309</v>
      </c>
      <c r="C131" s="201">
        <f>SUM(D131:AA131)</f>
        <v>2313980.79</v>
      </c>
      <c r="D131" s="74"/>
      <c r="E131" s="74"/>
      <c r="F131" s="74"/>
      <c r="G131" s="74"/>
      <c r="H131" s="74"/>
      <c r="I131" s="74"/>
      <c r="J131" s="74">
        <v>1874780</v>
      </c>
      <c r="K131" s="74"/>
      <c r="L131" s="74"/>
      <c r="M131" s="74"/>
      <c r="N131" s="74"/>
      <c r="O131" s="74"/>
      <c r="P131" s="74"/>
      <c r="Q131" s="74"/>
      <c r="R131" s="74">
        <v>439200.79</v>
      </c>
      <c r="S131" s="74"/>
      <c r="T131" s="74"/>
      <c r="U131" s="74"/>
      <c r="V131" s="74"/>
      <c r="W131" s="74"/>
      <c r="X131" s="205"/>
      <c r="Y131" s="205"/>
      <c r="Z131" s="205"/>
      <c r="AA131" s="205"/>
      <c r="AB131" s="66"/>
      <c r="AC131" s="66"/>
      <c r="AD131" s="66"/>
    </row>
    <row r="132" spans="1:30" ht="46.5" customHeight="1" x14ac:dyDescent="0.25">
      <c r="A132" s="72" t="s">
        <v>245</v>
      </c>
      <c r="B132" s="125">
        <v>310</v>
      </c>
      <c r="C132" s="201">
        <f>SUM(D132:AA132)</f>
        <v>1552061.47</v>
      </c>
      <c r="D132" s="74">
        <v>168961.47</v>
      </c>
      <c r="E132" s="74">
        <v>518600</v>
      </c>
      <c r="F132" s="74">
        <v>202620</v>
      </c>
      <c r="G132" s="74"/>
      <c r="H132" s="74">
        <v>35970</v>
      </c>
      <c r="I132" s="74">
        <v>22750</v>
      </c>
      <c r="J132" s="74"/>
      <c r="K132" s="74"/>
      <c r="L132" s="74"/>
      <c r="M132" s="74"/>
      <c r="N132" s="74">
        <v>532600</v>
      </c>
      <c r="O132" s="74">
        <v>20160</v>
      </c>
      <c r="P132" s="74"/>
      <c r="Q132" s="74">
        <v>50400</v>
      </c>
      <c r="R132" s="74"/>
      <c r="S132" s="197"/>
      <c r="T132" s="74"/>
      <c r="U132" s="74"/>
      <c r="V132" s="74"/>
      <c r="W132" s="74"/>
      <c r="X132" s="205"/>
      <c r="Y132" s="205"/>
      <c r="Z132" s="205"/>
      <c r="AA132" s="205"/>
      <c r="AB132" s="66"/>
      <c r="AC132" s="66"/>
      <c r="AD132" s="66"/>
    </row>
    <row r="133" spans="1:30" ht="163.5" customHeight="1" x14ac:dyDescent="0.25">
      <c r="A133" s="72" t="s">
        <v>246</v>
      </c>
      <c r="B133" s="125">
        <v>400</v>
      </c>
      <c r="C133" s="125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205"/>
      <c r="Y133" s="205"/>
      <c r="Z133" s="205"/>
      <c r="AA133" s="205"/>
      <c r="AB133" s="66"/>
      <c r="AC133" s="66"/>
      <c r="AD133" s="66"/>
    </row>
    <row r="134" spans="1:30" ht="113.25" customHeight="1" x14ac:dyDescent="0.25">
      <c r="A134" s="72" t="s">
        <v>247</v>
      </c>
      <c r="B134" s="125">
        <v>500</v>
      </c>
      <c r="C134" s="125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205"/>
      <c r="Y134" s="205"/>
      <c r="Z134" s="205"/>
      <c r="AA134" s="205"/>
      <c r="AB134" s="66"/>
      <c r="AC134" s="66"/>
      <c r="AD134" s="66"/>
    </row>
    <row r="135" spans="1:30" ht="93.75" customHeight="1" x14ac:dyDescent="0.25">
      <c r="A135" s="185" t="s">
        <v>248</v>
      </c>
      <c r="B135" s="182">
        <v>600</v>
      </c>
      <c r="C135" s="198">
        <f>C121</f>
        <v>23044488.659999996</v>
      </c>
      <c r="D135" s="202">
        <f t="shared" ref="D135:Q135" si="3">D121</f>
        <v>5695919.8799999999</v>
      </c>
      <c r="E135" s="202">
        <f>E121</f>
        <v>591100</v>
      </c>
      <c r="F135" s="202">
        <f t="shared" si="3"/>
        <v>527620</v>
      </c>
      <c r="G135" s="202">
        <f t="shared" si="3"/>
        <v>63397</v>
      </c>
      <c r="H135" s="202">
        <f t="shared" si="3"/>
        <v>57970</v>
      </c>
      <c r="I135" s="202">
        <f t="shared" si="3"/>
        <v>22750</v>
      </c>
      <c r="J135" s="202">
        <f t="shared" si="3"/>
        <v>1874780</v>
      </c>
      <c r="K135" s="202">
        <f t="shared" si="3"/>
        <v>1450347.02</v>
      </c>
      <c r="L135" s="202">
        <f t="shared" si="3"/>
        <v>3550838.48</v>
      </c>
      <c r="M135" s="202">
        <f t="shared" si="3"/>
        <v>350623</v>
      </c>
      <c r="N135" s="202">
        <f>N121</f>
        <v>532600</v>
      </c>
      <c r="O135" s="202">
        <f t="shared" si="3"/>
        <v>20160</v>
      </c>
      <c r="P135" s="202">
        <f t="shared" si="3"/>
        <v>150154</v>
      </c>
      <c r="Q135" s="202">
        <f t="shared" si="3"/>
        <v>50400</v>
      </c>
      <c r="R135" s="202">
        <f t="shared" ref="R135:W135" si="4">R121</f>
        <v>439200.79</v>
      </c>
      <c r="S135" s="202">
        <f t="shared" si="4"/>
        <v>0</v>
      </c>
      <c r="T135" s="202">
        <f t="shared" si="4"/>
        <v>5217170</v>
      </c>
      <c r="U135" s="202">
        <f t="shared" si="4"/>
        <v>5008.49</v>
      </c>
      <c r="V135" s="202">
        <f t="shared" si="4"/>
        <v>2420000</v>
      </c>
      <c r="W135" s="202">
        <f t="shared" si="4"/>
        <v>24450</v>
      </c>
      <c r="X135" s="208"/>
      <c r="Y135" s="208"/>
      <c r="Z135" s="208"/>
      <c r="AA135" s="205"/>
      <c r="AB135" s="66"/>
      <c r="AC135" s="66"/>
      <c r="AD135" s="66"/>
    </row>
    <row r="136" spans="1:30" ht="18.75" x14ac:dyDescent="0.2">
      <c r="J136" s="288"/>
    </row>
  </sheetData>
  <mergeCells count="71">
    <mergeCell ref="W122:W123"/>
    <mergeCell ref="A1:AD1"/>
    <mergeCell ref="A3:AD3"/>
    <mergeCell ref="A6:A9"/>
    <mergeCell ref="B6:B9"/>
    <mergeCell ref="D14:D15"/>
    <mergeCell ref="C7:AD7"/>
    <mergeCell ref="AA14:AA15"/>
    <mergeCell ref="F14:F15"/>
    <mergeCell ref="I14:I15"/>
    <mergeCell ref="T14:T15"/>
    <mergeCell ref="Y14:Y15"/>
    <mergeCell ref="C8:AD8"/>
    <mergeCell ref="C6:AD6"/>
    <mergeCell ref="Z14:Z15"/>
    <mergeCell ref="P14:P15"/>
    <mergeCell ref="Q14:Q15"/>
    <mergeCell ref="E69:E70"/>
    <mergeCell ref="F69:F70"/>
    <mergeCell ref="W69:W70"/>
    <mergeCell ref="I69:I70"/>
    <mergeCell ref="J69:J70"/>
    <mergeCell ref="G69:G70"/>
    <mergeCell ref="O69:O70"/>
    <mergeCell ref="P69:P70"/>
    <mergeCell ref="L69:L70"/>
    <mergeCell ref="M69:M70"/>
    <mergeCell ref="K69:K70"/>
    <mergeCell ref="H69:H70"/>
    <mergeCell ref="A61:A64"/>
    <mergeCell ref="B61:B64"/>
    <mergeCell ref="D122:D123"/>
    <mergeCell ref="C69:C70"/>
    <mergeCell ref="B69:B70"/>
    <mergeCell ref="D69:D70"/>
    <mergeCell ref="A114:A117"/>
    <mergeCell ref="B114:B117"/>
    <mergeCell ref="B122:B123"/>
    <mergeCell ref="C122:C123"/>
    <mergeCell ref="F122:F123"/>
    <mergeCell ref="G122:G123"/>
    <mergeCell ref="Q122:Q123"/>
    <mergeCell ref="T122:T123"/>
    <mergeCell ref="H122:H123"/>
    <mergeCell ref="M122:M123"/>
    <mergeCell ref="K122:K123"/>
    <mergeCell ref="L122:L123"/>
    <mergeCell ref="J122:J123"/>
    <mergeCell ref="I122:I123"/>
    <mergeCell ref="AD14:AD15"/>
    <mergeCell ref="R14:R15"/>
    <mergeCell ref="S14:S15"/>
    <mergeCell ref="V14:V15"/>
    <mergeCell ref="AC14:AC15"/>
    <mergeCell ref="AB14:AB15"/>
    <mergeCell ref="AA122:AA123"/>
    <mergeCell ref="B14:B15"/>
    <mergeCell ref="C14:C15"/>
    <mergeCell ref="E14:E15"/>
    <mergeCell ref="G14:G15"/>
    <mergeCell ref="H14:H15"/>
    <mergeCell ref="K14:K15"/>
    <mergeCell ref="M14:M15"/>
    <mergeCell ref="N14:N15"/>
    <mergeCell ref="O14:O15"/>
    <mergeCell ref="Y122:Y123"/>
    <mergeCell ref="Q69:Q70"/>
    <mergeCell ref="T69:T70"/>
    <mergeCell ref="O122:O123"/>
    <mergeCell ref="P122:P123"/>
    <mergeCell ref="E122:E123"/>
  </mergeCells>
  <phoneticPr fontId="15" type="noConversion"/>
  <pageMargins left="0.19685039370078741" right="0.19685039370078741" top="0.39370078740157483" bottom="0.39370078740157483" header="0.31496062992125984" footer="0.31496062992125984"/>
  <pageSetup paperSize="9" scale="42" fitToHeight="0" orientation="landscape" r:id="rId1"/>
  <rowBreaks count="1" manualBreakCount="1">
    <brk id="83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9"/>
  <sheetViews>
    <sheetView workbookViewId="0">
      <selection activeCell="R37" sqref="R37"/>
    </sheetView>
  </sheetViews>
  <sheetFormatPr defaultRowHeight="12.75" x14ac:dyDescent="0.2"/>
  <cols>
    <col min="1" max="1" width="16" style="3" customWidth="1"/>
    <col min="2" max="2" width="9.140625" style="3"/>
    <col min="3" max="14" width="13.85546875" style="3" customWidth="1"/>
    <col min="15" max="16384" width="9.140625" style="3"/>
  </cols>
  <sheetData>
    <row r="1" spans="1:14" ht="18" customHeight="1" x14ac:dyDescent="0.2">
      <c r="A1" s="3" t="s">
        <v>254</v>
      </c>
    </row>
    <row r="2" spans="1:14" ht="33" customHeight="1" x14ac:dyDescent="0.2">
      <c r="A2" s="388" t="s">
        <v>215</v>
      </c>
      <c r="B2" s="388" t="s">
        <v>1</v>
      </c>
      <c r="C2" s="388" t="s">
        <v>251</v>
      </c>
      <c r="D2" s="388"/>
      <c r="E2" s="388"/>
      <c r="F2" s="388" t="s">
        <v>252</v>
      </c>
      <c r="G2" s="388"/>
      <c r="H2" s="388"/>
      <c r="I2" s="388" t="s">
        <v>253</v>
      </c>
      <c r="J2" s="388"/>
      <c r="K2" s="388"/>
      <c r="L2" s="388" t="s">
        <v>113</v>
      </c>
      <c r="M2" s="388"/>
      <c r="N2" s="388"/>
    </row>
    <row r="3" spans="1:14" x14ac:dyDescent="0.2">
      <c r="A3" s="388"/>
      <c r="B3" s="388"/>
      <c r="C3" s="16" t="s">
        <v>418</v>
      </c>
      <c r="D3" s="16" t="s">
        <v>548</v>
      </c>
      <c r="E3" s="16" t="s">
        <v>583</v>
      </c>
      <c r="F3" s="16" t="s">
        <v>418</v>
      </c>
      <c r="G3" s="16" t="s">
        <v>548</v>
      </c>
      <c r="H3" s="16" t="s">
        <v>583</v>
      </c>
      <c r="I3" s="16" t="s">
        <v>418</v>
      </c>
      <c r="J3" s="16" t="s">
        <v>548</v>
      </c>
      <c r="K3" s="16" t="s">
        <v>583</v>
      </c>
      <c r="L3" s="16" t="s">
        <v>418</v>
      </c>
      <c r="M3" s="16" t="s">
        <v>548</v>
      </c>
      <c r="N3" s="16" t="s">
        <v>583</v>
      </c>
    </row>
    <row r="4" spans="1:14" ht="40.5" customHeight="1" x14ac:dyDescent="0.2">
      <c r="A4" s="388"/>
      <c r="B4" s="388"/>
      <c r="C4" s="2" t="s">
        <v>73</v>
      </c>
      <c r="D4" s="2" t="s">
        <v>74</v>
      </c>
      <c r="E4" s="2" t="s">
        <v>75</v>
      </c>
      <c r="F4" s="2" t="s">
        <v>73</v>
      </c>
      <c r="G4" s="2" t="s">
        <v>74</v>
      </c>
      <c r="H4" s="2" t="s">
        <v>75</v>
      </c>
      <c r="I4" s="2" t="s">
        <v>73</v>
      </c>
      <c r="J4" s="2" t="s">
        <v>74</v>
      </c>
      <c r="K4" s="2" t="s">
        <v>75</v>
      </c>
      <c r="L4" s="2" t="s">
        <v>73</v>
      </c>
      <c r="M4" s="2" t="s">
        <v>74</v>
      </c>
      <c r="N4" s="2" t="s">
        <v>75</v>
      </c>
    </row>
    <row r="5" spans="1:14" ht="17.25" customHeight="1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</row>
    <row r="6" spans="1:14" ht="38.25" x14ac:dyDescent="0.2">
      <c r="A6" s="6" t="s">
        <v>469</v>
      </c>
      <c r="B6" s="2">
        <v>1</v>
      </c>
      <c r="C6" s="6">
        <v>1</v>
      </c>
      <c r="D6" s="6">
        <v>1</v>
      </c>
      <c r="E6" s="6">
        <v>1</v>
      </c>
      <c r="F6" s="6">
        <v>12</v>
      </c>
      <c r="G6" s="6">
        <v>12</v>
      </c>
      <c r="H6" s="6">
        <v>12</v>
      </c>
      <c r="I6" s="6">
        <v>2084</v>
      </c>
      <c r="J6" s="6">
        <v>2084</v>
      </c>
      <c r="K6" s="6">
        <v>2084</v>
      </c>
      <c r="L6" s="39">
        <v>25000</v>
      </c>
      <c r="M6" s="39">
        <v>25000</v>
      </c>
      <c r="N6" s="39">
        <v>25000</v>
      </c>
    </row>
    <row r="7" spans="1:14" ht="51" x14ac:dyDescent="0.2">
      <c r="A7" s="6" t="s">
        <v>470</v>
      </c>
      <c r="B7" s="2">
        <v>2</v>
      </c>
      <c r="C7" s="6">
        <v>6</v>
      </c>
      <c r="D7" s="6">
        <v>6</v>
      </c>
      <c r="E7" s="6">
        <v>6</v>
      </c>
      <c r="F7" s="6">
        <v>12</v>
      </c>
      <c r="G7" s="6">
        <v>12</v>
      </c>
      <c r="H7" s="6">
        <v>12</v>
      </c>
      <c r="I7" s="6">
        <v>880.5</v>
      </c>
      <c r="J7" s="296">
        <v>880.5</v>
      </c>
      <c r="K7" s="296">
        <v>880.5</v>
      </c>
      <c r="L7" s="39">
        <f>I7*H7*E7+1</f>
        <v>63397</v>
      </c>
      <c r="M7" s="112">
        <f>J7*12*E7+1</f>
        <v>63397</v>
      </c>
      <c r="N7" s="112">
        <f>K7*H7*E7+1</f>
        <v>63397</v>
      </c>
    </row>
    <row r="8" spans="1:14" ht="22.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5"/>
      <c r="M8" s="5"/>
      <c r="N8" s="5"/>
    </row>
    <row r="9" spans="1:14" ht="22.5" customHeight="1" x14ac:dyDescent="0.2">
      <c r="A9" s="6" t="s">
        <v>133</v>
      </c>
      <c r="B9" s="2">
        <v>9000</v>
      </c>
      <c r="C9" s="2" t="s">
        <v>11</v>
      </c>
      <c r="D9" s="2" t="s">
        <v>11</v>
      </c>
      <c r="E9" s="2" t="s">
        <v>11</v>
      </c>
      <c r="F9" s="2" t="s">
        <v>11</v>
      </c>
      <c r="G9" s="2" t="s">
        <v>11</v>
      </c>
      <c r="H9" s="2" t="s">
        <v>11</v>
      </c>
      <c r="I9" s="2" t="s">
        <v>11</v>
      </c>
      <c r="J9" s="2" t="s">
        <v>11</v>
      </c>
      <c r="K9" s="2" t="s">
        <v>11</v>
      </c>
      <c r="L9" s="164">
        <f>SUM(L6:L8)</f>
        <v>88397</v>
      </c>
      <c r="M9" s="164">
        <f>SUM(M6:M8)</f>
        <v>88397</v>
      </c>
      <c r="N9" s="164">
        <f>SUM(N6:N8)</f>
        <v>88397</v>
      </c>
    </row>
  </sheetData>
  <mergeCells count="6">
    <mergeCell ref="L2:N2"/>
    <mergeCell ref="A2:A4"/>
    <mergeCell ref="B2:B4"/>
    <mergeCell ref="C2:E2"/>
    <mergeCell ref="F2:H2"/>
    <mergeCell ref="I2:K2"/>
  </mergeCells>
  <phoneticPr fontId="15" type="noConversion"/>
  <pageMargins left="0.7" right="0.7" top="0.75" bottom="0.75" header="0.3" footer="0.3"/>
  <pageSetup paperSize="9" scale="6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9"/>
  <sheetViews>
    <sheetView workbookViewId="0">
      <selection activeCell="R43" sqref="R43"/>
    </sheetView>
  </sheetViews>
  <sheetFormatPr defaultRowHeight="12.75" x14ac:dyDescent="0.2"/>
  <cols>
    <col min="1" max="1" width="16.5703125" style="3" customWidth="1"/>
    <col min="2" max="2" width="9.140625" style="3"/>
    <col min="3" max="11" width="15.7109375" style="3" customWidth="1"/>
    <col min="12" max="16384" width="9.140625" style="3"/>
  </cols>
  <sheetData>
    <row r="1" spans="1:11" x14ac:dyDescent="0.2">
      <c r="A1" s="3" t="s">
        <v>257</v>
      </c>
    </row>
    <row r="2" spans="1:11" ht="33" customHeight="1" x14ac:dyDescent="0.2">
      <c r="A2" s="388" t="s">
        <v>215</v>
      </c>
      <c r="B2" s="388" t="s">
        <v>1</v>
      </c>
      <c r="C2" s="388" t="s">
        <v>255</v>
      </c>
      <c r="D2" s="388"/>
      <c r="E2" s="388"/>
      <c r="F2" s="388" t="s">
        <v>256</v>
      </c>
      <c r="G2" s="388"/>
      <c r="H2" s="388"/>
      <c r="I2" s="388" t="s">
        <v>113</v>
      </c>
      <c r="J2" s="388"/>
      <c r="K2" s="388"/>
    </row>
    <row r="3" spans="1:11" x14ac:dyDescent="0.2">
      <c r="A3" s="388"/>
      <c r="B3" s="388"/>
      <c r="C3" s="16" t="s">
        <v>417</v>
      </c>
      <c r="D3" s="16" t="s">
        <v>418</v>
      </c>
      <c r="E3" s="16" t="s">
        <v>548</v>
      </c>
      <c r="F3" s="16" t="s">
        <v>417</v>
      </c>
      <c r="G3" s="16" t="s">
        <v>418</v>
      </c>
      <c r="H3" s="16" t="s">
        <v>548</v>
      </c>
      <c r="I3" s="16" t="s">
        <v>417</v>
      </c>
      <c r="J3" s="16" t="s">
        <v>418</v>
      </c>
      <c r="K3" s="16" t="s">
        <v>548</v>
      </c>
    </row>
    <row r="4" spans="1:11" ht="38.25" x14ac:dyDescent="0.2">
      <c r="A4" s="388"/>
      <c r="B4" s="388"/>
      <c r="C4" s="2" t="s">
        <v>73</v>
      </c>
      <c r="D4" s="2" t="s">
        <v>74</v>
      </c>
      <c r="E4" s="2" t="s">
        <v>75</v>
      </c>
      <c r="F4" s="2" t="s">
        <v>73</v>
      </c>
      <c r="G4" s="2" t="s">
        <v>74</v>
      </c>
      <c r="H4" s="2" t="s">
        <v>75</v>
      </c>
      <c r="I4" s="2" t="s">
        <v>73</v>
      </c>
      <c r="J4" s="2" t="s">
        <v>74</v>
      </c>
      <c r="K4" s="2" t="s">
        <v>75</v>
      </c>
    </row>
    <row r="5" spans="1:11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1" x14ac:dyDescent="0.2">
      <c r="A6" s="6"/>
      <c r="B6" s="2">
        <v>1</v>
      </c>
      <c r="C6" s="6"/>
      <c r="D6" s="6"/>
      <c r="E6" s="6"/>
      <c r="F6" s="6"/>
      <c r="G6" s="6"/>
      <c r="H6" s="6"/>
      <c r="I6" s="5">
        <v>0</v>
      </c>
      <c r="J6" s="5"/>
      <c r="K6" s="5"/>
    </row>
    <row r="7" spans="1:11" x14ac:dyDescent="0.2">
      <c r="A7" s="6"/>
      <c r="B7" s="2">
        <v>2</v>
      </c>
      <c r="C7" s="6"/>
      <c r="D7" s="6"/>
      <c r="E7" s="6"/>
      <c r="F7" s="6"/>
      <c r="G7" s="6"/>
      <c r="H7" s="6"/>
      <c r="I7" s="5"/>
      <c r="J7" s="5"/>
      <c r="K7" s="5"/>
    </row>
    <row r="8" spans="1:11" x14ac:dyDescent="0.2">
      <c r="A8" s="6"/>
      <c r="B8" s="6"/>
      <c r="C8" s="6"/>
      <c r="D8" s="6"/>
      <c r="E8" s="6"/>
      <c r="F8" s="6"/>
      <c r="G8" s="6"/>
      <c r="H8" s="6"/>
      <c r="I8" s="5"/>
      <c r="J8" s="5"/>
      <c r="K8" s="5"/>
    </row>
    <row r="9" spans="1:11" x14ac:dyDescent="0.2">
      <c r="A9" s="6" t="s">
        <v>133</v>
      </c>
      <c r="B9" s="2">
        <v>9000</v>
      </c>
      <c r="C9" s="2" t="s">
        <v>11</v>
      </c>
      <c r="D9" s="2" t="s">
        <v>11</v>
      </c>
      <c r="E9" s="2" t="s">
        <v>11</v>
      </c>
      <c r="F9" s="2" t="s">
        <v>11</v>
      </c>
      <c r="G9" s="2" t="s">
        <v>11</v>
      </c>
      <c r="H9" s="2" t="s">
        <v>11</v>
      </c>
      <c r="I9" s="163">
        <f>SUM(I6:I8)</f>
        <v>0</v>
      </c>
      <c r="J9" s="163">
        <f>SUM(J6:J8)</f>
        <v>0</v>
      </c>
      <c r="K9" s="163">
        <f>SUM(K6:K8)</f>
        <v>0</v>
      </c>
    </row>
  </sheetData>
  <mergeCells count="5">
    <mergeCell ref="I2:K2"/>
    <mergeCell ref="A2:A4"/>
    <mergeCell ref="B2:B4"/>
    <mergeCell ref="C2:E2"/>
    <mergeCell ref="F2:H2"/>
  </mergeCells>
  <phoneticPr fontId="15" type="noConversion"/>
  <pageMargins left="0.7" right="0.7" top="0.75" bottom="0.75" header="0.3" footer="0.3"/>
  <pageSetup paperSize="9" scale="78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5"/>
  <sheetViews>
    <sheetView view="pageBreakPreview" topLeftCell="A13" zoomScaleNormal="100" zoomScaleSheetLayoutView="100" workbookViewId="0">
      <selection activeCell="A39" sqref="A39"/>
    </sheetView>
  </sheetViews>
  <sheetFormatPr defaultRowHeight="12.75" x14ac:dyDescent="0.2"/>
  <cols>
    <col min="1" max="1" width="29.28515625" style="3" customWidth="1"/>
    <col min="2" max="2" width="9.140625" style="3"/>
    <col min="3" max="10" width="14.85546875" style="3" customWidth="1"/>
    <col min="11" max="11" width="15.85546875" style="3" customWidth="1"/>
    <col min="12" max="14" width="10" style="3" bestFit="1" customWidth="1"/>
    <col min="15" max="16384" width="9.140625" style="3"/>
  </cols>
  <sheetData>
    <row r="1" spans="1:15" ht="15.75" x14ac:dyDescent="0.25">
      <c r="A1" s="66" t="s">
        <v>260</v>
      </c>
      <c r="B1" s="66"/>
      <c r="C1" s="66"/>
      <c r="D1" s="66"/>
      <c r="E1" s="66"/>
      <c r="F1" s="66"/>
      <c r="G1" s="104" t="s">
        <v>502</v>
      </c>
      <c r="H1" s="104"/>
      <c r="I1" s="66"/>
      <c r="J1" s="66"/>
      <c r="K1" s="66"/>
      <c r="L1" s="66"/>
    </row>
    <row r="2" spans="1:15" ht="15.75" x14ac:dyDescent="0.25">
      <c r="A2" s="373" t="s">
        <v>215</v>
      </c>
      <c r="B2" s="373" t="s">
        <v>1</v>
      </c>
      <c r="C2" s="373" t="s">
        <v>258</v>
      </c>
      <c r="D2" s="373"/>
      <c r="E2" s="373"/>
      <c r="F2" s="373" t="s">
        <v>259</v>
      </c>
      <c r="G2" s="373"/>
      <c r="H2" s="373"/>
      <c r="I2" s="373" t="s">
        <v>113</v>
      </c>
      <c r="J2" s="373"/>
      <c r="K2" s="373"/>
      <c r="L2" s="66"/>
    </row>
    <row r="3" spans="1:15" ht="15.75" x14ac:dyDescent="0.25">
      <c r="A3" s="373"/>
      <c r="B3" s="373"/>
      <c r="C3" s="322" t="s">
        <v>418</v>
      </c>
      <c r="D3" s="322" t="s">
        <v>548</v>
      </c>
      <c r="E3" s="322" t="s">
        <v>583</v>
      </c>
      <c r="F3" s="322" t="s">
        <v>418</v>
      </c>
      <c r="G3" s="322" t="s">
        <v>548</v>
      </c>
      <c r="H3" s="322" t="s">
        <v>583</v>
      </c>
      <c r="I3" s="322" t="s">
        <v>418</v>
      </c>
      <c r="J3" s="322" t="s">
        <v>548</v>
      </c>
      <c r="K3" s="322" t="s">
        <v>583</v>
      </c>
      <c r="L3" s="66"/>
    </row>
    <row r="4" spans="1:15" ht="47.25" x14ac:dyDescent="0.25">
      <c r="A4" s="373"/>
      <c r="B4" s="373"/>
      <c r="C4" s="322" t="s">
        <v>73</v>
      </c>
      <c r="D4" s="322" t="s">
        <v>74</v>
      </c>
      <c r="E4" s="322" t="s">
        <v>75</v>
      </c>
      <c r="F4" s="322" t="s">
        <v>73</v>
      </c>
      <c r="G4" s="322" t="s">
        <v>74</v>
      </c>
      <c r="H4" s="322" t="s">
        <v>75</v>
      </c>
      <c r="I4" s="322" t="s">
        <v>73</v>
      </c>
      <c r="J4" s="322" t="s">
        <v>74</v>
      </c>
      <c r="K4" s="322" t="s">
        <v>75</v>
      </c>
      <c r="L4" s="66"/>
    </row>
    <row r="5" spans="1:15" ht="15.75" x14ac:dyDescent="0.25">
      <c r="A5" s="322">
        <v>1</v>
      </c>
      <c r="B5" s="322">
        <v>2</v>
      </c>
      <c r="C5" s="322">
        <v>3</v>
      </c>
      <c r="D5" s="322">
        <v>4</v>
      </c>
      <c r="E5" s="322">
        <v>5</v>
      </c>
      <c r="F5" s="322">
        <v>6</v>
      </c>
      <c r="G5" s="322">
        <v>7</v>
      </c>
      <c r="H5" s="322">
        <v>8</v>
      </c>
      <c r="I5" s="322">
        <v>9</v>
      </c>
      <c r="J5" s="322">
        <v>10</v>
      </c>
      <c r="K5" s="322">
        <v>11</v>
      </c>
      <c r="L5" s="66"/>
    </row>
    <row r="6" spans="1:15" ht="31.5" x14ac:dyDescent="0.2">
      <c r="A6" s="326" t="s">
        <v>316</v>
      </c>
      <c r="B6" s="325">
        <v>1</v>
      </c>
      <c r="C6" s="327">
        <v>820.06961000000001</v>
      </c>
      <c r="D6" s="328">
        <v>820.06910000000005</v>
      </c>
      <c r="E6" s="328">
        <f>K6/H6</f>
        <v>722.95447219617017</v>
      </c>
      <c r="F6" s="329">
        <v>2157.4699999999998</v>
      </c>
      <c r="G6" s="329">
        <v>2196.46</v>
      </c>
      <c r="H6" s="329">
        <v>2196.46</v>
      </c>
      <c r="I6" s="330">
        <v>1769275.58</v>
      </c>
      <c r="J6" s="330">
        <v>1769275.58</v>
      </c>
      <c r="K6" s="330">
        <f>1769275.58-181335</f>
        <v>1587940.58</v>
      </c>
      <c r="L6" s="438"/>
      <c r="M6" s="28"/>
      <c r="N6" s="28"/>
    </row>
    <row r="7" spans="1:15" ht="31.5" x14ac:dyDescent="0.2">
      <c r="A7" s="326" t="s">
        <v>317</v>
      </c>
      <c r="B7" s="325">
        <f>B6+1</f>
        <v>2</v>
      </c>
      <c r="C7" s="331">
        <f>I7/F7</f>
        <v>416.62928018468915</v>
      </c>
      <c r="D7" s="331">
        <f>J7/G7</f>
        <v>404.69636742238947</v>
      </c>
      <c r="E7" s="331">
        <f>K7/H7</f>
        <v>404.26345387089657</v>
      </c>
      <c r="F7" s="329">
        <v>2243.77</v>
      </c>
      <c r="G7" s="329">
        <v>2309.9299999999998</v>
      </c>
      <c r="H7" s="329">
        <v>2309.9299999999998</v>
      </c>
      <c r="I7" s="330">
        <v>934820.28</v>
      </c>
      <c r="J7" s="330">
        <v>934820.28</v>
      </c>
      <c r="K7" s="330">
        <v>933820.28</v>
      </c>
      <c r="L7" s="439"/>
      <c r="M7" s="28"/>
    </row>
    <row r="8" spans="1:15" ht="31.5" x14ac:dyDescent="0.2">
      <c r="A8" s="326" t="s">
        <v>318</v>
      </c>
      <c r="B8" s="325">
        <f t="shared" ref="B8:B17" si="0">B7+1</f>
        <v>3</v>
      </c>
      <c r="C8" s="329">
        <v>19.98</v>
      </c>
      <c r="D8" s="332">
        <f>J8/G8</f>
        <v>20.285564634401844</v>
      </c>
      <c r="E8" s="332">
        <v>20.285599999999999</v>
      </c>
      <c r="F8" s="329">
        <v>48.46</v>
      </c>
      <c r="G8" s="329">
        <v>47.73</v>
      </c>
      <c r="H8" s="329">
        <v>47.73</v>
      </c>
      <c r="I8" s="330">
        <f t="shared" ref="I8:J16" si="1">F8*C8</f>
        <v>968.23080000000004</v>
      </c>
      <c r="J8" s="330">
        <v>968.23</v>
      </c>
      <c r="K8" s="330">
        <v>968.23</v>
      </c>
      <c r="L8" s="439"/>
      <c r="M8" s="28"/>
      <c r="O8" s="28"/>
    </row>
    <row r="9" spans="1:15" ht="31.5" x14ac:dyDescent="0.2">
      <c r="A9" s="326" t="s">
        <v>319</v>
      </c>
      <c r="B9" s="325">
        <f t="shared" si="0"/>
        <v>4</v>
      </c>
      <c r="C9" s="329">
        <v>20.02</v>
      </c>
      <c r="D9" s="332">
        <f>J9/G9</f>
        <v>19.460069444444443</v>
      </c>
      <c r="E9" s="332">
        <v>19.460100000000001</v>
      </c>
      <c r="F9" s="329">
        <v>50.39</v>
      </c>
      <c r="G9" s="329">
        <v>51.84</v>
      </c>
      <c r="H9" s="329">
        <v>51.84</v>
      </c>
      <c r="I9" s="330">
        <f t="shared" si="1"/>
        <v>1008.8078</v>
      </c>
      <c r="J9" s="330">
        <v>1008.81</v>
      </c>
      <c r="K9" s="330">
        <f t="shared" ref="K9:K16" si="2">H9*E9</f>
        <v>1008.8115840000002</v>
      </c>
      <c r="L9" s="439"/>
    </row>
    <row r="10" spans="1:15" ht="31.5" x14ac:dyDescent="0.2">
      <c r="A10" s="326" t="s">
        <v>320</v>
      </c>
      <c r="B10" s="325">
        <f t="shared" si="0"/>
        <v>5</v>
      </c>
      <c r="C10" s="329">
        <v>1.8</v>
      </c>
      <c r="D10" s="328">
        <f>J10/G10</f>
        <v>1.7680494978283237</v>
      </c>
      <c r="E10" s="328">
        <v>1.7680499999999999</v>
      </c>
      <c r="F10" s="329">
        <v>2157.4699999999998</v>
      </c>
      <c r="G10" s="329">
        <v>2196.46</v>
      </c>
      <c r="H10" s="329">
        <v>2196.46</v>
      </c>
      <c r="I10" s="330">
        <f t="shared" si="1"/>
        <v>3883.4459999999999</v>
      </c>
      <c r="J10" s="330">
        <v>3883.45</v>
      </c>
      <c r="K10" s="330">
        <v>3883.45</v>
      </c>
      <c r="L10" s="439"/>
    </row>
    <row r="11" spans="1:15" ht="31.5" x14ac:dyDescent="0.2">
      <c r="A11" s="326" t="s">
        <v>321</v>
      </c>
      <c r="B11" s="325">
        <f t="shared" si="0"/>
        <v>6</v>
      </c>
      <c r="C11" s="329">
        <v>1.8</v>
      </c>
      <c r="D11" s="328">
        <f>J11/G11</f>
        <v>1.7484469226340194</v>
      </c>
      <c r="E11" s="332">
        <v>1.7484500000000001</v>
      </c>
      <c r="F11" s="329">
        <v>2243.77</v>
      </c>
      <c r="G11" s="329">
        <v>2309.9299999999998</v>
      </c>
      <c r="H11" s="329">
        <v>2309.9299999999998</v>
      </c>
      <c r="I11" s="330">
        <f t="shared" si="1"/>
        <v>4038.7860000000001</v>
      </c>
      <c r="J11" s="330">
        <v>4038.79</v>
      </c>
      <c r="K11" s="330">
        <v>4038.79</v>
      </c>
      <c r="L11" s="439"/>
      <c r="M11" s="28"/>
    </row>
    <row r="12" spans="1:15" s="109" customFormat="1" ht="15.75" x14ac:dyDescent="0.25">
      <c r="A12" s="326" t="s">
        <v>322</v>
      </c>
      <c r="B12" s="325">
        <f t="shared" si="0"/>
        <v>7</v>
      </c>
      <c r="C12" s="329">
        <v>3651.663</v>
      </c>
      <c r="D12" s="332">
        <v>4074.6356000000001</v>
      </c>
      <c r="E12" s="332">
        <v>4074.6356000000001</v>
      </c>
      <c r="F12" s="326">
        <v>23.12</v>
      </c>
      <c r="G12" s="326">
        <v>20.72</v>
      </c>
      <c r="H12" s="326">
        <v>20.72</v>
      </c>
      <c r="I12" s="330">
        <f t="shared" si="1"/>
        <v>84426.448560000004</v>
      </c>
      <c r="J12" s="330">
        <v>84426.45</v>
      </c>
      <c r="K12" s="330">
        <f t="shared" si="2"/>
        <v>84426.449632000003</v>
      </c>
      <c r="L12" s="333"/>
      <c r="M12" s="437"/>
    </row>
    <row r="13" spans="1:15" s="109" customFormat="1" ht="15.75" x14ac:dyDescent="0.25">
      <c r="A13" s="326" t="s">
        <v>325</v>
      </c>
      <c r="B13" s="325">
        <f t="shared" si="0"/>
        <v>8</v>
      </c>
      <c r="C13" s="329">
        <v>3650.22</v>
      </c>
      <c r="D13" s="332">
        <f>J13/G13</f>
        <v>4229.7289807421321</v>
      </c>
      <c r="E13" s="332">
        <v>4229.7290000000003</v>
      </c>
      <c r="F13" s="329">
        <v>24.67</v>
      </c>
      <c r="G13" s="329">
        <v>21.29</v>
      </c>
      <c r="H13" s="329">
        <v>21.29</v>
      </c>
      <c r="I13" s="330">
        <f t="shared" si="1"/>
        <v>90050.9274</v>
      </c>
      <c r="J13" s="330">
        <v>90050.93</v>
      </c>
      <c r="K13" s="330">
        <f t="shared" si="2"/>
        <v>90050.930410000001</v>
      </c>
      <c r="L13" s="333"/>
      <c r="M13" s="437"/>
    </row>
    <row r="14" spans="1:15" s="109" customFormat="1" ht="15.75" x14ac:dyDescent="0.25">
      <c r="A14" s="326" t="s">
        <v>323</v>
      </c>
      <c r="B14" s="325">
        <f t="shared" si="0"/>
        <v>9</v>
      </c>
      <c r="C14" s="329">
        <v>3670.02</v>
      </c>
      <c r="D14" s="332">
        <f>J14/G14</f>
        <v>3502.8970856102001</v>
      </c>
      <c r="E14" s="332">
        <v>3502.8971000000001</v>
      </c>
      <c r="F14" s="329">
        <v>20.96</v>
      </c>
      <c r="G14" s="329">
        <v>21.96</v>
      </c>
      <c r="H14" s="329">
        <v>21.96</v>
      </c>
      <c r="I14" s="330">
        <f t="shared" si="1"/>
        <v>76923.619200000001</v>
      </c>
      <c r="J14" s="330">
        <v>76923.62</v>
      </c>
      <c r="K14" s="330">
        <v>76923.62</v>
      </c>
      <c r="L14" s="333"/>
    </row>
    <row r="15" spans="1:15" s="109" customFormat="1" ht="15.75" x14ac:dyDescent="0.25">
      <c r="A15" s="326" t="s">
        <v>326</v>
      </c>
      <c r="B15" s="325">
        <f t="shared" si="0"/>
        <v>10</v>
      </c>
      <c r="C15" s="328">
        <v>3669.9793500000001</v>
      </c>
      <c r="D15" s="328">
        <v>3282.7935499999999</v>
      </c>
      <c r="E15" s="328">
        <v>3282.7888899999998</v>
      </c>
      <c r="F15" s="329">
        <v>21.79</v>
      </c>
      <c r="G15" s="329">
        <v>24.36</v>
      </c>
      <c r="H15" s="329">
        <v>24.36</v>
      </c>
      <c r="I15" s="330">
        <v>79968.850000000006</v>
      </c>
      <c r="J15" s="330">
        <v>79968.850000000006</v>
      </c>
      <c r="K15" s="330">
        <v>79968.740000000005</v>
      </c>
      <c r="L15" s="334"/>
    </row>
    <row r="16" spans="1:15" s="109" customFormat="1" ht="31.5" x14ac:dyDescent="0.2">
      <c r="A16" s="326" t="s">
        <v>324</v>
      </c>
      <c r="B16" s="325">
        <f t="shared" si="0"/>
        <v>11</v>
      </c>
      <c r="C16" s="329">
        <v>111</v>
      </c>
      <c r="D16" s="329">
        <v>111</v>
      </c>
      <c r="E16" s="329">
        <v>111</v>
      </c>
      <c r="F16" s="326">
        <v>8907.44</v>
      </c>
      <c r="G16" s="326">
        <v>8907.44</v>
      </c>
      <c r="H16" s="326">
        <v>8907.44</v>
      </c>
      <c r="I16" s="330">
        <f t="shared" si="1"/>
        <v>988725.84000000008</v>
      </c>
      <c r="J16" s="330">
        <f t="shared" si="1"/>
        <v>988725.84000000008</v>
      </c>
      <c r="K16" s="330">
        <f t="shared" si="2"/>
        <v>988725.84000000008</v>
      </c>
      <c r="L16" s="434"/>
    </row>
    <row r="17" spans="1:13" s="109" customFormat="1" ht="31.5" x14ac:dyDescent="0.2">
      <c r="A17" s="326" t="s">
        <v>327</v>
      </c>
      <c r="B17" s="325">
        <f t="shared" si="0"/>
        <v>12</v>
      </c>
      <c r="C17" s="329">
        <v>85.7</v>
      </c>
      <c r="D17" s="329">
        <v>85.7</v>
      </c>
      <c r="E17" s="329">
        <v>85.7</v>
      </c>
      <c r="F17" s="326">
        <v>8907.44</v>
      </c>
      <c r="G17" s="326">
        <v>8907.44</v>
      </c>
      <c r="H17" s="326">
        <v>8907.44</v>
      </c>
      <c r="I17" s="330">
        <v>763374.16</v>
      </c>
      <c r="J17" s="330">
        <v>763374.16</v>
      </c>
      <c r="K17" s="330">
        <v>763374.16</v>
      </c>
      <c r="L17" s="435"/>
    </row>
    <row r="18" spans="1:13" s="109" customFormat="1" ht="15.75" x14ac:dyDescent="0.25">
      <c r="A18" s="326" t="s">
        <v>613</v>
      </c>
      <c r="B18" s="325">
        <v>13</v>
      </c>
      <c r="C18" s="329">
        <f t="shared" ref="C18:E19" si="3">I18/F18</f>
        <v>20.349192137072158</v>
      </c>
      <c r="D18" s="329">
        <f t="shared" si="3"/>
        <v>20.349192137072158</v>
      </c>
      <c r="E18" s="329">
        <f t="shared" si="3"/>
        <v>20.349192137072158</v>
      </c>
      <c r="F18" s="326">
        <v>1719.97</v>
      </c>
      <c r="G18" s="326">
        <v>1719.97</v>
      </c>
      <c r="H18" s="326">
        <v>1719.97</v>
      </c>
      <c r="I18" s="330">
        <v>35000</v>
      </c>
      <c r="J18" s="330">
        <v>35000</v>
      </c>
      <c r="K18" s="330">
        <v>35000</v>
      </c>
      <c r="L18" s="335"/>
    </row>
    <row r="19" spans="1:13" s="109" customFormat="1" ht="15.75" x14ac:dyDescent="0.25">
      <c r="A19" s="336" t="s">
        <v>614</v>
      </c>
      <c r="B19" s="337">
        <v>14</v>
      </c>
      <c r="C19" s="338">
        <f t="shared" si="3"/>
        <v>19.56651777478379</v>
      </c>
      <c r="D19" s="338">
        <f t="shared" si="3"/>
        <v>19.56651777478379</v>
      </c>
      <c r="E19" s="338">
        <f t="shared" si="3"/>
        <v>19.56651777478379</v>
      </c>
      <c r="F19" s="336">
        <v>1788.77</v>
      </c>
      <c r="G19" s="336">
        <v>1788.77</v>
      </c>
      <c r="H19" s="336">
        <v>1788.77</v>
      </c>
      <c r="I19" s="131">
        <v>35000</v>
      </c>
      <c r="J19" s="131">
        <v>35000</v>
      </c>
      <c r="K19" s="131">
        <v>35000</v>
      </c>
      <c r="L19" s="335"/>
    </row>
    <row r="20" spans="1:13" ht="15.75" x14ac:dyDescent="0.25">
      <c r="A20" s="17" t="s">
        <v>133</v>
      </c>
      <c r="B20" s="322">
        <v>9000</v>
      </c>
      <c r="C20" s="322" t="s">
        <v>11</v>
      </c>
      <c r="D20" s="322" t="s">
        <v>11</v>
      </c>
      <c r="E20" s="322" t="s">
        <v>11</v>
      </c>
      <c r="F20" s="322" t="s">
        <v>11</v>
      </c>
      <c r="G20" s="322" t="s">
        <v>11</v>
      </c>
      <c r="H20" s="322" t="s">
        <v>11</v>
      </c>
      <c r="I20" s="339">
        <v>4867464.99</v>
      </c>
      <c r="J20" s="324">
        <v>4867464.99</v>
      </c>
      <c r="K20" s="324">
        <v>4685129.88</v>
      </c>
      <c r="L20" s="66"/>
    </row>
    <row r="21" spans="1:13" ht="15.75" x14ac:dyDescent="0.25">
      <c r="A21" s="90"/>
      <c r="B21" s="67"/>
      <c r="C21" s="67"/>
      <c r="D21" s="67"/>
      <c r="E21" s="67"/>
      <c r="F21" s="67"/>
      <c r="G21" s="67"/>
      <c r="H21" s="67"/>
      <c r="I21" s="340"/>
      <c r="J21" s="341"/>
      <c r="K21" s="341"/>
      <c r="L21" s="66"/>
    </row>
    <row r="22" spans="1:13" ht="15.75" x14ac:dyDescent="0.25">
      <c r="A22" s="90"/>
      <c r="B22" s="67"/>
      <c r="C22" s="67"/>
      <c r="D22" s="67"/>
      <c r="E22" s="67"/>
      <c r="F22" s="67"/>
      <c r="G22" s="67"/>
      <c r="H22" s="67"/>
      <c r="I22" s="340"/>
      <c r="J22" s="341"/>
      <c r="K22" s="341"/>
      <c r="L22" s="66"/>
    </row>
    <row r="23" spans="1:13" ht="15.75" x14ac:dyDescent="0.25">
      <c r="A23" s="90"/>
      <c r="B23" s="67"/>
      <c r="C23" s="67"/>
      <c r="D23" s="67"/>
      <c r="E23" s="67"/>
      <c r="F23" s="67"/>
      <c r="G23" s="67"/>
      <c r="H23" s="67"/>
      <c r="I23" s="340"/>
      <c r="J23" s="341"/>
      <c r="K23" s="341"/>
      <c r="L23" s="66"/>
    </row>
    <row r="24" spans="1:13" ht="15.75" x14ac:dyDescent="0.25">
      <c r="A24" s="90"/>
      <c r="B24" s="67"/>
      <c r="C24" s="67"/>
      <c r="D24" s="67"/>
      <c r="E24" s="67"/>
      <c r="F24" s="67"/>
      <c r="G24" s="67"/>
      <c r="H24" s="67"/>
      <c r="I24" s="340"/>
      <c r="J24" s="341"/>
      <c r="K24" s="341"/>
      <c r="L24" s="66"/>
    </row>
    <row r="25" spans="1:13" ht="15.75" x14ac:dyDescent="0.25">
      <c r="A25" s="90"/>
      <c r="B25" s="67"/>
      <c r="C25" s="67"/>
      <c r="D25" s="67"/>
      <c r="E25" s="67"/>
      <c r="F25" s="67"/>
      <c r="G25" s="67"/>
      <c r="H25" s="67"/>
      <c r="I25" s="340"/>
      <c r="J25" s="341"/>
      <c r="K25" s="341"/>
      <c r="L25" s="66"/>
    </row>
    <row r="26" spans="1:13" ht="15.75" x14ac:dyDescent="0.25">
      <c r="A26" s="90"/>
      <c r="B26" s="67"/>
      <c r="C26" s="67"/>
      <c r="D26" s="67"/>
      <c r="E26" s="67"/>
      <c r="F26" s="67"/>
      <c r="G26" s="67"/>
      <c r="H26" s="67"/>
      <c r="I26" s="340"/>
      <c r="J26" s="341"/>
      <c r="K26" s="341"/>
      <c r="L26" s="66"/>
    </row>
    <row r="27" spans="1:13" ht="15.75" x14ac:dyDescent="0.25">
      <c r="A27" s="90"/>
      <c r="B27" s="67"/>
      <c r="C27" s="67"/>
      <c r="D27" s="67"/>
      <c r="E27" s="67"/>
      <c r="F27" s="67"/>
      <c r="G27" s="67"/>
      <c r="H27" s="67"/>
      <c r="I27" s="340"/>
      <c r="J27" s="341"/>
      <c r="K27" s="341"/>
      <c r="L27" s="66"/>
    </row>
    <row r="28" spans="1:13" ht="17.25" customHeight="1" x14ac:dyDescent="0.25">
      <c r="A28" s="90"/>
      <c r="B28" s="67"/>
      <c r="C28" s="67"/>
      <c r="D28" s="67"/>
      <c r="E28" s="67"/>
      <c r="F28" s="67"/>
      <c r="G28" s="67"/>
      <c r="H28" s="67"/>
      <c r="I28" s="340"/>
      <c r="J28" s="341"/>
      <c r="K28" s="341"/>
      <c r="L28" s="66"/>
    </row>
    <row r="29" spans="1:13" ht="15.75" x14ac:dyDescent="0.25">
      <c r="A29" s="90"/>
      <c r="B29" s="67"/>
      <c r="C29" s="67"/>
      <c r="D29" s="67"/>
      <c r="E29" s="67"/>
      <c r="F29" s="67"/>
      <c r="G29" s="67"/>
      <c r="H29" s="67"/>
      <c r="I29" s="340"/>
      <c r="J29" s="341"/>
      <c r="K29" s="341"/>
      <c r="L29" s="66"/>
    </row>
    <row r="30" spans="1:13" ht="31.5" customHeight="1" x14ac:dyDescent="0.25">
      <c r="A30" s="436" t="s">
        <v>619</v>
      </c>
      <c r="B30" s="436"/>
      <c r="C30" s="436"/>
      <c r="D30" s="436"/>
      <c r="E30" s="436"/>
      <c r="F30" s="67"/>
      <c r="G30" s="67"/>
      <c r="H30" s="67"/>
      <c r="I30" s="136"/>
      <c r="J30" s="136"/>
      <c r="K30" s="136"/>
      <c r="L30" s="97"/>
      <c r="M30" s="28"/>
    </row>
    <row r="31" spans="1:13" ht="15.75" x14ac:dyDescent="0.25">
      <c r="A31" s="373" t="s">
        <v>154</v>
      </c>
      <c r="B31" s="373" t="s">
        <v>1</v>
      </c>
      <c r="C31" s="373" t="s">
        <v>148</v>
      </c>
      <c r="D31" s="373"/>
      <c r="E31" s="373"/>
      <c r="F31" s="373" t="s">
        <v>155</v>
      </c>
      <c r="G31" s="373"/>
      <c r="H31" s="373"/>
      <c r="I31" s="373" t="s">
        <v>150</v>
      </c>
      <c r="J31" s="373"/>
      <c r="K31" s="373"/>
      <c r="L31" s="66"/>
      <c r="M31" s="28"/>
    </row>
    <row r="32" spans="1:13" ht="15.75" x14ac:dyDescent="0.25">
      <c r="A32" s="373"/>
      <c r="B32" s="373"/>
      <c r="C32" s="322" t="s">
        <v>418</v>
      </c>
      <c r="D32" s="322" t="s">
        <v>548</v>
      </c>
      <c r="E32" s="322" t="s">
        <v>583</v>
      </c>
      <c r="F32" s="322" t="s">
        <v>418</v>
      </c>
      <c r="G32" s="322" t="s">
        <v>548</v>
      </c>
      <c r="H32" s="322" t="s">
        <v>583</v>
      </c>
      <c r="I32" s="322" t="s">
        <v>418</v>
      </c>
      <c r="J32" s="322" t="s">
        <v>548</v>
      </c>
      <c r="K32" s="322" t="s">
        <v>583</v>
      </c>
      <c r="L32" s="66"/>
      <c r="M32" s="28"/>
    </row>
    <row r="33" spans="1:13" ht="47.25" x14ac:dyDescent="0.25">
      <c r="A33" s="373"/>
      <c r="B33" s="373"/>
      <c r="C33" s="322" t="s">
        <v>73</v>
      </c>
      <c r="D33" s="322" t="s">
        <v>74</v>
      </c>
      <c r="E33" s="322" t="s">
        <v>75</v>
      </c>
      <c r="F33" s="322" t="s">
        <v>73</v>
      </c>
      <c r="G33" s="322" t="s">
        <v>74</v>
      </c>
      <c r="H33" s="322" t="s">
        <v>75</v>
      </c>
      <c r="I33" s="322" t="s">
        <v>73</v>
      </c>
      <c r="J33" s="322" t="s">
        <v>74</v>
      </c>
      <c r="K33" s="322" t="s">
        <v>75</v>
      </c>
      <c r="L33" s="66"/>
      <c r="M33" s="28"/>
    </row>
    <row r="34" spans="1:13" ht="15.75" x14ac:dyDescent="0.25">
      <c r="A34" s="322">
        <v>1</v>
      </c>
      <c r="B34" s="322">
        <v>2</v>
      </c>
      <c r="C34" s="322">
        <v>3</v>
      </c>
      <c r="D34" s="322">
        <v>4</v>
      </c>
      <c r="E34" s="322">
        <v>5</v>
      </c>
      <c r="F34" s="322">
        <v>6</v>
      </c>
      <c r="G34" s="322">
        <v>7</v>
      </c>
      <c r="H34" s="322">
        <v>8</v>
      </c>
      <c r="I34" s="322">
        <v>9</v>
      </c>
      <c r="J34" s="322">
        <v>10</v>
      </c>
      <c r="K34" s="322">
        <v>11</v>
      </c>
      <c r="L34" s="66"/>
      <c r="M34" s="28"/>
    </row>
    <row r="35" spans="1:13" ht="31.5" x14ac:dyDescent="0.25">
      <c r="A35" s="17" t="s">
        <v>324</v>
      </c>
      <c r="B35" s="322"/>
      <c r="C35" s="17">
        <v>8907.44</v>
      </c>
      <c r="D35" s="17">
        <v>8907.44</v>
      </c>
      <c r="E35" s="17"/>
      <c r="F35" s="342">
        <f t="shared" ref="F35:G42" si="4">I35/C35</f>
        <v>7.8585991036706391</v>
      </c>
      <c r="G35" s="342">
        <f t="shared" si="4"/>
        <v>7.8585991036706391</v>
      </c>
      <c r="H35" s="17"/>
      <c r="I35" s="323">
        <v>70000</v>
      </c>
      <c r="J35" s="323">
        <v>70000</v>
      </c>
      <c r="K35" s="323"/>
      <c r="L35" s="66"/>
      <c r="M35" s="28"/>
    </row>
    <row r="36" spans="1:13" ht="31.5" x14ac:dyDescent="0.25">
      <c r="A36" s="17" t="s">
        <v>327</v>
      </c>
      <c r="B36" s="322"/>
      <c r="C36" s="17">
        <v>8907.44</v>
      </c>
      <c r="D36" s="17">
        <v>8907.44</v>
      </c>
      <c r="E36" s="17"/>
      <c r="F36" s="342">
        <f t="shared" si="4"/>
        <v>6.7359420888605479</v>
      </c>
      <c r="G36" s="342">
        <f t="shared" si="4"/>
        <v>6.7359420888605479</v>
      </c>
      <c r="H36" s="17"/>
      <c r="I36" s="323">
        <v>60000</v>
      </c>
      <c r="J36" s="323">
        <v>60000</v>
      </c>
      <c r="K36" s="323"/>
      <c r="L36" s="66"/>
      <c r="M36" s="28"/>
    </row>
    <row r="37" spans="1:13" ht="15.75" x14ac:dyDescent="0.25">
      <c r="A37" s="17" t="s">
        <v>322</v>
      </c>
      <c r="B37" s="322"/>
      <c r="C37" s="17">
        <v>23.12</v>
      </c>
      <c r="D37" s="17">
        <v>20.72</v>
      </c>
      <c r="E37" s="17"/>
      <c r="F37" s="342">
        <f t="shared" si="4"/>
        <v>865.05190311418676</v>
      </c>
      <c r="G37" s="342">
        <f t="shared" si="4"/>
        <v>965.25096525096535</v>
      </c>
      <c r="H37" s="17"/>
      <c r="I37" s="323">
        <v>20000</v>
      </c>
      <c r="J37" s="323">
        <v>20000</v>
      </c>
      <c r="K37" s="323"/>
      <c r="L37" s="66"/>
    </row>
    <row r="38" spans="1:13" ht="15.75" x14ac:dyDescent="0.25">
      <c r="A38" s="17" t="s">
        <v>325</v>
      </c>
      <c r="B38" s="322"/>
      <c r="C38" s="17">
        <v>24.67</v>
      </c>
      <c r="D38" s="17">
        <v>21.29</v>
      </c>
      <c r="E38" s="17"/>
      <c r="F38" s="342">
        <f t="shared" si="4"/>
        <v>810.70125658694769</v>
      </c>
      <c r="G38" s="342">
        <f t="shared" si="4"/>
        <v>939.40817285110381</v>
      </c>
      <c r="H38" s="17"/>
      <c r="I38" s="323">
        <v>20000</v>
      </c>
      <c r="J38" s="323">
        <v>20000</v>
      </c>
      <c r="K38" s="323"/>
      <c r="L38" s="66"/>
    </row>
    <row r="39" spans="1:13" ht="15.75" x14ac:dyDescent="0.25">
      <c r="A39" s="17" t="s">
        <v>323</v>
      </c>
      <c r="B39" s="322"/>
      <c r="C39" s="17">
        <v>20.96</v>
      </c>
      <c r="D39" s="17">
        <v>21.96</v>
      </c>
      <c r="E39" s="17"/>
      <c r="F39" s="342">
        <f t="shared" si="4"/>
        <v>954.19847328244271</v>
      </c>
      <c r="G39" s="342">
        <f t="shared" si="4"/>
        <v>910.74681238615665</v>
      </c>
      <c r="H39" s="323"/>
      <c r="I39" s="323">
        <v>20000</v>
      </c>
      <c r="J39" s="323">
        <v>20000</v>
      </c>
      <c r="K39" s="323"/>
      <c r="L39" s="66"/>
    </row>
    <row r="40" spans="1:13" ht="15.75" x14ac:dyDescent="0.25">
      <c r="A40" s="17" t="s">
        <v>326</v>
      </c>
      <c r="B40" s="322"/>
      <c r="C40" s="17">
        <v>21.79</v>
      </c>
      <c r="D40" s="17">
        <v>24.36</v>
      </c>
      <c r="E40" s="17"/>
      <c r="F40" s="342">
        <f t="shared" si="4"/>
        <v>917.85222579164758</v>
      </c>
      <c r="G40" s="342">
        <f t="shared" si="4"/>
        <v>821.01806239737277</v>
      </c>
      <c r="H40" s="323"/>
      <c r="I40" s="323">
        <v>20000</v>
      </c>
      <c r="J40" s="323">
        <v>20000</v>
      </c>
      <c r="K40" s="323"/>
      <c r="L40" s="66"/>
    </row>
    <row r="41" spans="1:13" ht="31.5" x14ac:dyDescent="0.25">
      <c r="A41" s="17" t="s">
        <v>316</v>
      </c>
      <c r="B41" s="322"/>
      <c r="C41" s="323">
        <v>2157.4699999999998</v>
      </c>
      <c r="D41" s="323">
        <v>2196.46</v>
      </c>
      <c r="E41" s="323"/>
      <c r="F41" s="342">
        <f t="shared" si="4"/>
        <v>92.701173133346018</v>
      </c>
      <c r="G41" s="342">
        <f t="shared" si="4"/>
        <v>91.055607659597712</v>
      </c>
      <c r="H41" s="323"/>
      <c r="I41" s="323">
        <v>200000</v>
      </c>
      <c r="J41" s="323">
        <v>200000</v>
      </c>
      <c r="K41" s="323"/>
      <c r="L41" s="66"/>
    </row>
    <row r="42" spans="1:13" ht="31.5" x14ac:dyDescent="0.25">
      <c r="A42" s="17" t="s">
        <v>317</v>
      </c>
      <c r="B42" s="322"/>
      <c r="C42" s="323">
        <v>2243.77</v>
      </c>
      <c r="D42" s="323">
        <v>2309.9299999999998</v>
      </c>
      <c r="E42" s="323"/>
      <c r="F42" s="342">
        <f t="shared" si="4"/>
        <v>38.535429210658847</v>
      </c>
      <c r="G42" s="342">
        <f t="shared" si="4"/>
        <v>37.43171438095527</v>
      </c>
      <c r="H42" s="323"/>
      <c r="I42" s="323">
        <v>86464.639999999999</v>
      </c>
      <c r="J42" s="323">
        <v>86464.639999999999</v>
      </c>
      <c r="K42" s="323"/>
      <c r="L42" s="66"/>
    </row>
    <row r="43" spans="1:13" ht="15.75" x14ac:dyDescent="0.25">
      <c r="A43" s="17" t="s">
        <v>133</v>
      </c>
      <c r="B43" s="322">
        <v>9000</v>
      </c>
      <c r="C43" s="322" t="s">
        <v>11</v>
      </c>
      <c r="D43" s="322" t="s">
        <v>11</v>
      </c>
      <c r="E43" s="322" t="s">
        <v>11</v>
      </c>
      <c r="F43" s="322" t="s">
        <v>11</v>
      </c>
      <c r="G43" s="322" t="s">
        <v>11</v>
      </c>
      <c r="H43" s="322" t="s">
        <v>11</v>
      </c>
      <c r="I43" s="240">
        <f>SUM(I35:I42)</f>
        <v>496464.64000000001</v>
      </c>
      <c r="J43" s="240">
        <f>SUM(J35:J42)</f>
        <v>496464.64000000001</v>
      </c>
      <c r="K43" s="240">
        <f>SUM(K35:K41)</f>
        <v>0</v>
      </c>
      <c r="L43" s="66"/>
    </row>
    <row r="44" spans="1:13" ht="15.75" x14ac:dyDescent="0.25">
      <c r="A44" s="66"/>
      <c r="B44" s="66"/>
      <c r="C44" s="66"/>
      <c r="D44" s="66"/>
      <c r="E44" s="66"/>
      <c r="F44" s="66"/>
      <c r="G44" s="66"/>
      <c r="H44" s="66"/>
      <c r="I44" s="97"/>
      <c r="J44" s="66"/>
      <c r="K44" s="66"/>
      <c r="L44" s="66"/>
    </row>
    <row r="45" spans="1:13" ht="15.75" x14ac:dyDescent="0.25">
      <c r="A45" s="66"/>
      <c r="B45" s="66"/>
      <c r="C45" s="66"/>
      <c r="D45" s="66"/>
      <c r="E45" s="66"/>
      <c r="F45" s="66"/>
      <c r="G45" s="66"/>
      <c r="H45" s="66"/>
      <c r="I45" s="251">
        <f>I43+I20</f>
        <v>5363929.63</v>
      </c>
      <c r="J45" s="251">
        <f>J43+J20</f>
        <v>5363929.63</v>
      </c>
      <c r="K45" s="251">
        <f>K43+K20</f>
        <v>4685129.88</v>
      </c>
      <c r="L45" s="66"/>
    </row>
  </sheetData>
  <mergeCells count="14">
    <mergeCell ref="M12:M13"/>
    <mergeCell ref="A2:A4"/>
    <mergeCell ref="B2:B4"/>
    <mergeCell ref="C2:E2"/>
    <mergeCell ref="F2:H2"/>
    <mergeCell ref="I2:K2"/>
    <mergeCell ref="L6:L11"/>
    <mergeCell ref="L16:L17"/>
    <mergeCell ref="A31:A33"/>
    <mergeCell ref="B31:B33"/>
    <mergeCell ref="C31:E31"/>
    <mergeCell ref="F31:H31"/>
    <mergeCell ref="I31:K31"/>
    <mergeCell ref="A30:E30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5"/>
  <sheetViews>
    <sheetView topLeftCell="A16" workbookViewId="0">
      <selection activeCell="E21" sqref="E21"/>
    </sheetView>
  </sheetViews>
  <sheetFormatPr defaultRowHeight="12.75" x14ac:dyDescent="0.2"/>
  <cols>
    <col min="1" max="1" width="33.85546875" style="3" customWidth="1"/>
    <col min="2" max="2" width="9.140625" style="3"/>
    <col min="3" max="5" width="18.42578125" style="3" customWidth="1"/>
    <col min="6" max="16384" width="9.140625" style="3"/>
  </cols>
  <sheetData>
    <row r="1" spans="1:5" x14ac:dyDescent="0.2">
      <c r="A1" s="3" t="s">
        <v>143</v>
      </c>
    </row>
    <row r="3" spans="1:5" x14ac:dyDescent="0.2">
      <c r="A3" s="3" t="s">
        <v>142</v>
      </c>
    </row>
    <row r="5" spans="1:5" ht="24" customHeight="1" x14ac:dyDescent="0.2">
      <c r="A5" s="8" t="s">
        <v>135</v>
      </c>
    </row>
    <row r="6" spans="1:5" ht="18" customHeight="1" x14ac:dyDescent="0.2">
      <c r="A6" s="388" t="s">
        <v>0</v>
      </c>
      <c r="B6" s="388" t="s">
        <v>1</v>
      </c>
      <c r="C6" s="388" t="s">
        <v>113</v>
      </c>
      <c r="D6" s="388"/>
      <c r="E6" s="388"/>
    </row>
    <row r="7" spans="1:5" ht="18" customHeight="1" x14ac:dyDescent="0.2">
      <c r="A7" s="388"/>
      <c r="B7" s="388"/>
      <c r="C7" s="16" t="s">
        <v>417</v>
      </c>
      <c r="D7" s="16" t="s">
        <v>418</v>
      </c>
      <c r="E7" s="16" t="s">
        <v>548</v>
      </c>
    </row>
    <row r="8" spans="1:5" ht="25.5" x14ac:dyDescent="0.2">
      <c r="A8" s="388"/>
      <c r="B8" s="388"/>
      <c r="C8" s="2" t="s">
        <v>73</v>
      </c>
      <c r="D8" s="2" t="s">
        <v>74</v>
      </c>
      <c r="E8" s="2" t="s">
        <v>75</v>
      </c>
    </row>
    <row r="9" spans="1:5" ht="18" customHeight="1" x14ac:dyDescent="0.2">
      <c r="A9" s="2">
        <v>1</v>
      </c>
      <c r="B9" s="2">
        <v>2</v>
      </c>
      <c r="C9" s="2">
        <v>3</v>
      </c>
      <c r="D9" s="2">
        <v>4</v>
      </c>
      <c r="E9" s="2">
        <v>5</v>
      </c>
    </row>
    <row r="10" spans="1:5" ht="38.25" x14ac:dyDescent="0.2">
      <c r="A10" s="6" t="s">
        <v>114</v>
      </c>
      <c r="B10" s="2">
        <v>100</v>
      </c>
      <c r="C10" s="6"/>
      <c r="D10" s="6"/>
      <c r="E10" s="6"/>
    </row>
    <row r="11" spans="1:5" ht="51" x14ac:dyDescent="0.2">
      <c r="A11" s="6" t="s">
        <v>115</v>
      </c>
      <c r="B11" s="2">
        <v>200</v>
      </c>
      <c r="C11" s="6"/>
      <c r="D11" s="6"/>
      <c r="E11" s="6"/>
    </row>
    <row r="12" spans="1:5" x14ac:dyDescent="0.2">
      <c r="A12" s="6" t="s">
        <v>116</v>
      </c>
      <c r="B12" s="2">
        <v>300</v>
      </c>
      <c r="C12" s="6"/>
      <c r="D12" s="6"/>
      <c r="E12" s="6"/>
    </row>
    <row r="13" spans="1:5" x14ac:dyDescent="0.2">
      <c r="A13" s="6" t="s">
        <v>14</v>
      </c>
      <c r="B13" s="388">
        <v>310</v>
      </c>
      <c r="C13" s="389"/>
      <c r="D13" s="389"/>
      <c r="E13" s="389"/>
    </row>
    <row r="14" spans="1:5" ht="51" x14ac:dyDescent="0.2">
      <c r="A14" s="6" t="s">
        <v>16</v>
      </c>
      <c r="B14" s="388"/>
      <c r="C14" s="389"/>
      <c r="D14" s="389"/>
      <c r="E14" s="389"/>
    </row>
    <row r="15" spans="1:5" ht="25.5" x14ac:dyDescent="0.2">
      <c r="A15" s="6" t="s">
        <v>117</v>
      </c>
      <c r="B15" s="2">
        <v>320</v>
      </c>
      <c r="C15" s="6"/>
      <c r="D15" s="6"/>
      <c r="E15" s="6"/>
    </row>
    <row r="16" spans="1:5" ht="38.25" x14ac:dyDescent="0.2">
      <c r="A16" s="6" t="s">
        <v>17</v>
      </c>
      <c r="B16" s="2">
        <v>330</v>
      </c>
      <c r="C16" s="6"/>
      <c r="D16" s="6"/>
      <c r="E16" s="6"/>
    </row>
    <row r="17" spans="1:5" ht="38.25" x14ac:dyDescent="0.2">
      <c r="A17" s="6" t="s">
        <v>18</v>
      </c>
      <c r="B17" s="2">
        <v>340</v>
      </c>
      <c r="C17" s="6"/>
      <c r="D17" s="6"/>
      <c r="E17" s="6"/>
    </row>
    <row r="18" spans="1:5" ht="25.5" x14ac:dyDescent="0.2">
      <c r="A18" s="6" t="s">
        <v>118</v>
      </c>
      <c r="B18" s="2">
        <v>350</v>
      </c>
      <c r="C18" s="6"/>
      <c r="D18" s="6"/>
      <c r="E18" s="6"/>
    </row>
    <row r="19" spans="1:5" ht="25.5" x14ac:dyDescent="0.2">
      <c r="A19" s="6" t="s">
        <v>119</v>
      </c>
      <c r="B19" s="2">
        <v>360</v>
      </c>
      <c r="C19" s="6"/>
      <c r="D19" s="6"/>
      <c r="E19" s="6"/>
    </row>
    <row r="20" spans="1:5" ht="63.75" x14ac:dyDescent="0.2">
      <c r="A20" s="6" t="s">
        <v>120</v>
      </c>
      <c r="B20" s="2">
        <v>370</v>
      </c>
      <c r="C20" s="6"/>
      <c r="D20" s="6"/>
      <c r="E20" s="6"/>
    </row>
    <row r="21" spans="1:5" ht="51" x14ac:dyDescent="0.2">
      <c r="A21" s="6" t="s">
        <v>121</v>
      </c>
      <c r="B21" s="2">
        <v>380</v>
      </c>
      <c r="C21" s="6"/>
      <c r="D21" s="6"/>
      <c r="E21" s="6"/>
    </row>
    <row r="22" spans="1:5" ht="38.25" x14ac:dyDescent="0.2">
      <c r="A22" s="6" t="s">
        <v>122</v>
      </c>
      <c r="B22" s="2">
        <v>390</v>
      </c>
      <c r="C22" s="6"/>
      <c r="D22" s="6"/>
      <c r="E22" s="6"/>
    </row>
    <row r="23" spans="1:5" ht="38.25" x14ac:dyDescent="0.2">
      <c r="A23" s="6" t="s">
        <v>123</v>
      </c>
      <c r="B23" s="2">
        <v>400</v>
      </c>
      <c r="C23" s="6"/>
      <c r="D23" s="6"/>
      <c r="E23" s="6"/>
    </row>
    <row r="24" spans="1:5" ht="51" x14ac:dyDescent="0.2">
      <c r="A24" s="6" t="s">
        <v>124</v>
      </c>
      <c r="B24" s="2">
        <v>500</v>
      </c>
      <c r="C24" s="6"/>
      <c r="D24" s="6"/>
      <c r="E24" s="6"/>
    </row>
    <row r="25" spans="1:5" ht="38.25" x14ac:dyDescent="0.2">
      <c r="A25" s="6" t="s">
        <v>125</v>
      </c>
      <c r="B25" s="2">
        <v>600</v>
      </c>
      <c r="C25" s="6"/>
      <c r="D25" s="6"/>
      <c r="E25" s="6"/>
    </row>
  </sheetData>
  <mergeCells count="7">
    <mergeCell ref="A6:A8"/>
    <mergeCell ref="B6:B8"/>
    <mergeCell ref="C6:E6"/>
    <mergeCell ref="B13:B14"/>
    <mergeCell ref="C13:C14"/>
    <mergeCell ref="D13:D14"/>
    <mergeCell ref="E13:E14"/>
  </mergeCells>
  <phoneticPr fontId="15" type="noConversion"/>
  <pageMargins left="0.7" right="0.7" top="0.75" bottom="0.75" header="0.3" footer="0.3"/>
  <pageSetup paperSize="9" scale="8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9"/>
  <sheetViews>
    <sheetView view="pageBreakPreview" zoomScale="60" workbookViewId="0">
      <selection activeCell="N4" sqref="N4"/>
    </sheetView>
  </sheetViews>
  <sheetFormatPr defaultRowHeight="12.75" x14ac:dyDescent="0.2"/>
  <cols>
    <col min="1" max="1" width="17.85546875" style="3" customWidth="1"/>
    <col min="2" max="2" width="9.140625" style="3"/>
    <col min="3" max="14" width="14.85546875" style="3" customWidth="1"/>
    <col min="15" max="16384" width="9.140625" style="3"/>
  </cols>
  <sheetData>
    <row r="1" spans="1:14" x14ac:dyDescent="0.2">
      <c r="A1" s="3" t="s">
        <v>264</v>
      </c>
    </row>
    <row r="2" spans="1:14" ht="47.25" customHeight="1" x14ac:dyDescent="0.2">
      <c r="A2" s="388" t="s">
        <v>215</v>
      </c>
      <c r="B2" s="388" t="s">
        <v>1</v>
      </c>
      <c r="C2" s="388" t="s">
        <v>261</v>
      </c>
      <c r="D2" s="388"/>
      <c r="E2" s="388"/>
      <c r="F2" s="388" t="s">
        <v>262</v>
      </c>
      <c r="G2" s="388"/>
      <c r="H2" s="388"/>
      <c r="I2" s="440" t="s">
        <v>263</v>
      </c>
      <c r="J2" s="441"/>
      <c r="K2" s="441"/>
      <c r="L2" s="440" t="s">
        <v>113</v>
      </c>
      <c r="M2" s="441"/>
      <c r="N2" s="442"/>
    </row>
    <row r="3" spans="1:14" x14ac:dyDescent="0.2">
      <c r="A3" s="388"/>
      <c r="B3" s="388"/>
      <c r="C3" s="16" t="s">
        <v>417</v>
      </c>
      <c r="D3" s="16" t="s">
        <v>418</v>
      </c>
      <c r="E3" s="16" t="s">
        <v>548</v>
      </c>
      <c r="F3" s="16" t="s">
        <v>417</v>
      </c>
      <c r="G3" s="16" t="s">
        <v>418</v>
      </c>
      <c r="H3" s="16" t="s">
        <v>548</v>
      </c>
      <c r="I3" s="16" t="s">
        <v>417</v>
      </c>
      <c r="J3" s="16" t="s">
        <v>418</v>
      </c>
      <c r="K3" s="16" t="s">
        <v>548</v>
      </c>
      <c r="L3" s="167" t="s">
        <v>417</v>
      </c>
      <c r="M3" s="16" t="s">
        <v>418</v>
      </c>
      <c r="N3" s="16" t="s">
        <v>548</v>
      </c>
    </row>
    <row r="4" spans="1:14" ht="38.25" x14ac:dyDescent="0.2">
      <c r="A4" s="388"/>
      <c r="B4" s="388"/>
      <c r="C4" s="2" t="s">
        <v>73</v>
      </c>
      <c r="D4" s="2" t="s">
        <v>74</v>
      </c>
      <c r="E4" s="2" t="s">
        <v>75</v>
      </c>
      <c r="F4" s="2" t="s">
        <v>73</v>
      </c>
      <c r="G4" s="2" t="s">
        <v>74</v>
      </c>
      <c r="H4" s="2" t="s">
        <v>75</v>
      </c>
      <c r="I4" s="6" t="s">
        <v>73</v>
      </c>
      <c r="J4" s="2" t="s">
        <v>74</v>
      </c>
      <c r="K4" s="2" t="s">
        <v>75</v>
      </c>
      <c r="L4" s="15" t="s">
        <v>73</v>
      </c>
      <c r="M4" s="2" t="s">
        <v>74</v>
      </c>
      <c r="N4" s="2" t="s">
        <v>75</v>
      </c>
    </row>
    <row r="5" spans="1:14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10</v>
      </c>
      <c r="J5" s="2">
        <v>11</v>
      </c>
      <c r="K5" s="6">
        <v>9</v>
      </c>
      <c r="L5" s="15">
        <v>12</v>
      </c>
      <c r="M5" s="2">
        <v>13</v>
      </c>
      <c r="N5" s="2">
        <v>14</v>
      </c>
    </row>
    <row r="6" spans="1:14" x14ac:dyDescent="0.2">
      <c r="A6" s="6"/>
      <c r="B6" s="2">
        <v>1</v>
      </c>
      <c r="C6" s="6"/>
      <c r="D6" s="6"/>
      <c r="E6" s="6"/>
      <c r="F6" s="6"/>
      <c r="G6" s="6"/>
      <c r="H6" s="6"/>
      <c r="I6" s="6"/>
      <c r="J6" s="6"/>
      <c r="K6" s="6"/>
      <c r="L6" s="7"/>
      <c r="M6" s="6"/>
      <c r="N6" s="6"/>
    </row>
    <row r="7" spans="1:14" x14ac:dyDescent="0.2">
      <c r="A7" s="6"/>
      <c r="B7" s="2">
        <v>2</v>
      </c>
      <c r="C7" s="6"/>
      <c r="D7" s="6"/>
      <c r="E7" s="6"/>
      <c r="F7" s="6"/>
      <c r="G7" s="6"/>
      <c r="H7" s="6"/>
      <c r="I7" s="6"/>
      <c r="J7" s="6"/>
      <c r="K7" s="6"/>
      <c r="L7" s="7"/>
      <c r="M7" s="6"/>
      <c r="N7" s="6"/>
    </row>
    <row r="8" spans="1:14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7"/>
      <c r="M8" s="6"/>
      <c r="N8" s="6"/>
    </row>
    <row r="9" spans="1:14" x14ac:dyDescent="0.2">
      <c r="A9" s="6" t="s">
        <v>133</v>
      </c>
      <c r="B9" s="2">
        <v>9000</v>
      </c>
      <c r="C9" s="2" t="s">
        <v>11</v>
      </c>
      <c r="D9" s="2" t="s">
        <v>11</v>
      </c>
      <c r="E9" s="2" t="s">
        <v>11</v>
      </c>
      <c r="F9" s="2" t="s">
        <v>11</v>
      </c>
      <c r="G9" s="2" t="s">
        <v>11</v>
      </c>
      <c r="H9" s="2" t="s">
        <v>11</v>
      </c>
      <c r="I9" s="2" t="s">
        <v>11</v>
      </c>
      <c r="J9" s="2" t="s">
        <v>11</v>
      </c>
      <c r="K9" s="2" t="s">
        <v>11</v>
      </c>
      <c r="L9" s="7"/>
      <c r="M9" s="6"/>
      <c r="N9" s="6"/>
    </row>
  </sheetData>
  <mergeCells count="6">
    <mergeCell ref="I2:K2"/>
    <mergeCell ref="L2:N2"/>
    <mergeCell ref="A2:A4"/>
    <mergeCell ref="B2:B4"/>
    <mergeCell ref="C2:E2"/>
    <mergeCell ref="F2:H2"/>
  </mergeCells>
  <phoneticPr fontId="15" type="noConversion"/>
  <pageMargins left="0.7" right="0.7" top="0.75" bottom="0.75" header="0.3" footer="0.3"/>
  <pageSetup paperSize="9" scale="63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K64"/>
  <sheetViews>
    <sheetView view="pageBreakPreview" zoomScaleSheetLayoutView="100" workbookViewId="0">
      <selection activeCell="I58" sqref="I58"/>
    </sheetView>
  </sheetViews>
  <sheetFormatPr defaultRowHeight="12.75" x14ac:dyDescent="0.2"/>
  <cols>
    <col min="1" max="1" width="29.42578125" style="3" customWidth="1"/>
    <col min="2" max="2" width="14.7109375" style="3" customWidth="1"/>
    <col min="3" max="11" width="16.7109375" style="3" customWidth="1"/>
    <col min="12" max="16384" width="9.140625" style="3"/>
  </cols>
  <sheetData>
    <row r="1" spans="1:11" x14ac:dyDescent="0.2">
      <c r="A1" s="3" t="s">
        <v>267</v>
      </c>
    </row>
    <row r="3" spans="1:11" x14ac:dyDescent="0.2">
      <c r="A3" s="14" t="s">
        <v>434</v>
      </c>
    </row>
    <row r="4" spans="1:11" x14ac:dyDescent="0.2">
      <c r="A4" s="388" t="s">
        <v>215</v>
      </c>
      <c r="B4" s="388" t="s">
        <v>1</v>
      </c>
      <c r="C4" s="388" t="s">
        <v>265</v>
      </c>
      <c r="D4" s="388"/>
      <c r="E4" s="388"/>
      <c r="F4" s="388" t="s">
        <v>266</v>
      </c>
      <c r="G4" s="388"/>
      <c r="H4" s="388"/>
      <c r="I4" s="388" t="s">
        <v>113</v>
      </c>
      <c r="J4" s="388"/>
      <c r="K4" s="388"/>
    </row>
    <row r="5" spans="1:11" x14ac:dyDescent="0.2">
      <c r="A5" s="388"/>
      <c r="B5" s="388"/>
      <c r="C5" s="16" t="s">
        <v>418</v>
      </c>
      <c r="D5" s="16" t="s">
        <v>548</v>
      </c>
      <c r="E5" s="16" t="s">
        <v>583</v>
      </c>
      <c r="F5" s="16" t="s">
        <v>418</v>
      </c>
      <c r="G5" s="16" t="s">
        <v>548</v>
      </c>
      <c r="H5" s="16" t="s">
        <v>583</v>
      </c>
      <c r="I5" s="16" t="s">
        <v>418</v>
      </c>
      <c r="J5" s="16" t="s">
        <v>548</v>
      </c>
      <c r="K5" s="16" t="s">
        <v>583</v>
      </c>
    </row>
    <row r="6" spans="1:11" ht="38.25" x14ac:dyDescent="0.2">
      <c r="A6" s="388"/>
      <c r="B6" s="388"/>
      <c r="C6" s="2" t="s">
        <v>73</v>
      </c>
      <c r="D6" s="2" t="s">
        <v>74</v>
      </c>
      <c r="E6" s="2" t="s">
        <v>75</v>
      </c>
      <c r="F6" s="2" t="s">
        <v>73</v>
      </c>
      <c r="G6" s="2" t="s">
        <v>74</v>
      </c>
      <c r="H6" s="2" t="s">
        <v>75</v>
      </c>
      <c r="I6" s="2" t="s">
        <v>73</v>
      </c>
      <c r="J6" s="2" t="s">
        <v>74</v>
      </c>
      <c r="K6" s="2" t="s">
        <v>75</v>
      </c>
    </row>
    <row r="7" spans="1:11" x14ac:dyDescent="0.2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</row>
    <row r="8" spans="1:11" ht="24.75" customHeight="1" x14ac:dyDescent="0.2">
      <c r="A8" s="29" t="s">
        <v>610</v>
      </c>
      <c r="B8" s="2">
        <v>1</v>
      </c>
      <c r="C8" s="6">
        <v>1</v>
      </c>
      <c r="D8" s="6">
        <v>1</v>
      </c>
      <c r="E8" s="6">
        <v>1</v>
      </c>
      <c r="F8" s="6">
        <v>1</v>
      </c>
      <c r="G8" s="6">
        <v>1</v>
      </c>
      <c r="H8" s="6">
        <v>1</v>
      </c>
      <c r="I8" s="30">
        <v>21306.6</v>
      </c>
      <c r="J8" s="30">
        <v>21306.6</v>
      </c>
      <c r="K8" s="30">
        <v>21306.6</v>
      </c>
    </row>
    <row r="9" spans="1:11" ht="30" customHeight="1" x14ac:dyDescent="0.2">
      <c r="A9" s="29" t="s">
        <v>367</v>
      </c>
      <c r="B9" s="2">
        <v>2</v>
      </c>
      <c r="C9" s="6">
        <v>1</v>
      </c>
      <c r="D9" s="6">
        <v>1</v>
      </c>
      <c r="E9" s="6">
        <v>1</v>
      </c>
      <c r="F9" s="6">
        <v>12</v>
      </c>
      <c r="G9" s="6">
        <v>12</v>
      </c>
      <c r="H9" s="6">
        <v>12</v>
      </c>
      <c r="I9" s="30">
        <v>20134.919999999998</v>
      </c>
      <c r="J9" s="30">
        <v>20134.919999999998</v>
      </c>
      <c r="K9" s="30">
        <v>20134.919999999998</v>
      </c>
    </row>
    <row r="10" spans="1:11" ht="33" customHeight="1" x14ac:dyDescent="0.2">
      <c r="A10" s="29" t="s">
        <v>328</v>
      </c>
      <c r="B10" s="2">
        <f t="shared" ref="B10:B19" si="0">B9+1</f>
        <v>3</v>
      </c>
      <c r="C10" s="6">
        <v>1</v>
      </c>
      <c r="D10" s="6">
        <v>1</v>
      </c>
      <c r="E10" s="6">
        <v>1</v>
      </c>
      <c r="F10" s="6">
        <v>1</v>
      </c>
      <c r="G10" s="6">
        <v>1</v>
      </c>
      <c r="H10" s="6">
        <v>1</v>
      </c>
      <c r="I10" s="30">
        <v>40452</v>
      </c>
      <c r="J10" s="30">
        <v>40452</v>
      </c>
      <c r="K10" s="30">
        <v>40452</v>
      </c>
    </row>
    <row r="11" spans="1:11" ht="43.5" customHeight="1" x14ac:dyDescent="0.2">
      <c r="A11" s="29" t="s">
        <v>368</v>
      </c>
      <c r="B11" s="2">
        <f t="shared" si="0"/>
        <v>4</v>
      </c>
      <c r="C11" s="6">
        <v>1</v>
      </c>
      <c r="D11" s="6">
        <v>1</v>
      </c>
      <c r="E11" s="6">
        <v>1</v>
      </c>
      <c r="F11" s="6">
        <v>12</v>
      </c>
      <c r="G11" s="6">
        <v>12</v>
      </c>
      <c r="H11" s="6">
        <v>12</v>
      </c>
      <c r="I11" s="30">
        <v>36000</v>
      </c>
      <c r="J11" s="30">
        <v>36000</v>
      </c>
      <c r="K11" s="30">
        <v>36000</v>
      </c>
    </row>
    <row r="12" spans="1:11" ht="21.75" customHeight="1" x14ac:dyDescent="0.2">
      <c r="A12" s="29" t="s">
        <v>595</v>
      </c>
      <c r="B12" s="2">
        <f t="shared" si="0"/>
        <v>5</v>
      </c>
      <c r="C12" s="6">
        <v>1</v>
      </c>
      <c r="D12" s="6">
        <v>1</v>
      </c>
      <c r="E12" s="6">
        <v>1</v>
      </c>
      <c r="F12" s="6">
        <v>12</v>
      </c>
      <c r="G12" s="6">
        <v>12</v>
      </c>
      <c r="H12" s="6">
        <v>12</v>
      </c>
      <c r="I12" s="30">
        <v>117600</v>
      </c>
      <c r="J12" s="30">
        <v>117600</v>
      </c>
      <c r="K12" s="30">
        <v>117600</v>
      </c>
    </row>
    <row r="13" spans="1:11" ht="33" customHeight="1" x14ac:dyDescent="0.2">
      <c r="A13" s="29" t="s">
        <v>597</v>
      </c>
      <c r="B13" s="2"/>
      <c r="C13" s="6">
        <v>1</v>
      </c>
      <c r="D13" s="6">
        <v>1</v>
      </c>
      <c r="E13" s="6">
        <v>1</v>
      </c>
      <c r="F13" s="6">
        <v>12</v>
      </c>
      <c r="G13" s="6">
        <v>12</v>
      </c>
      <c r="H13" s="6">
        <v>12</v>
      </c>
      <c r="I13" s="30">
        <v>28800</v>
      </c>
      <c r="J13" s="30">
        <v>28800</v>
      </c>
      <c r="K13" s="30">
        <v>28800</v>
      </c>
    </row>
    <row r="14" spans="1:11" ht="25.5" x14ac:dyDescent="0.2">
      <c r="A14" s="29" t="s">
        <v>369</v>
      </c>
      <c r="B14" s="2">
        <f t="shared" si="0"/>
        <v>1</v>
      </c>
      <c r="C14" s="6">
        <v>1</v>
      </c>
      <c r="D14" s="6">
        <v>1</v>
      </c>
      <c r="E14" s="6">
        <v>1</v>
      </c>
      <c r="F14" s="6">
        <v>1</v>
      </c>
      <c r="G14" s="6">
        <v>1</v>
      </c>
      <c r="H14" s="6">
        <v>1</v>
      </c>
      <c r="I14" s="30">
        <v>31200</v>
      </c>
      <c r="J14" s="30">
        <v>31200</v>
      </c>
      <c r="K14" s="30">
        <v>31200</v>
      </c>
    </row>
    <row r="15" spans="1:11" ht="18.75" customHeight="1" x14ac:dyDescent="0.2">
      <c r="A15" s="29" t="s">
        <v>348</v>
      </c>
      <c r="B15" s="2">
        <f t="shared" si="0"/>
        <v>2</v>
      </c>
      <c r="C15" s="6">
        <v>1</v>
      </c>
      <c r="D15" s="6">
        <v>1</v>
      </c>
      <c r="E15" s="6">
        <v>1</v>
      </c>
      <c r="F15" s="6">
        <v>1</v>
      </c>
      <c r="G15" s="6">
        <v>1</v>
      </c>
      <c r="H15" s="6">
        <v>1</v>
      </c>
      <c r="I15" s="30">
        <v>12000</v>
      </c>
      <c r="J15" s="30">
        <v>12000</v>
      </c>
      <c r="K15" s="30">
        <v>12000</v>
      </c>
    </row>
    <row r="16" spans="1:11" ht="24" customHeight="1" x14ac:dyDescent="0.2">
      <c r="A16" s="29" t="s">
        <v>370</v>
      </c>
      <c r="B16" s="2">
        <f t="shared" si="0"/>
        <v>3</v>
      </c>
      <c r="C16" s="6">
        <v>1</v>
      </c>
      <c r="D16" s="6">
        <v>1</v>
      </c>
      <c r="E16" s="6">
        <v>1</v>
      </c>
      <c r="F16" s="6">
        <v>1</v>
      </c>
      <c r="G16" s="6">
        <v>1</v>
      </c>
      <c r="H16" s="6">
        <v>1</v>
      </c>
      <c r="I16" s="30">
        <v>40000</v>
      </c>
      <c r="J16" s="30">
        <v>40000</v>
      </c>
      <c r="K16" s="30">
        <v>40000</v>
      </c>
    </row>
    <row r="17" spans="1:11" ht="15.75" customHeight="1" x14ac:dyDescent="0.2">
      <c r="A17" s="29" t="s">
        <v>371</v>
      </c>
      <c r="B17" s="2">
        <f t="shared" si="0"/>
        <v>4</v>
      </c>
      <c r="C17" s="6">
        <v>1</v>
      </c>
      <c r="D17" s="6">
        <v>1</v>
      </c>
      <c r="E17" s="6">
        <v>1</v>
      </c>
      <c r="F17" s="6">
        <v>1</v>
      </c>
      <c r="G17" s="6">
        <v>1</v>
      </c>
      <c r="H17" s="6">
        <v>1</v>
      </c>
      <c r="I17" s="30">
        <v>20000</v>
      </c>
      <c r="J17" s="30">
        <v>20000</v>
      </c>
      <c r="K17" s="30">
        <v>20000</v>
      </c>
    </row>
    <row r="18" spans="1:11" ht="20.25" customHeight="1" x14ac:dyDescent="0.2">
      <c r="A18" s="29" t="s">
        <v>372</v>
      </c>
      <c r="B18" s="2">
        <f t="shared" si="0"/>
        <v>5</v>
      </c>
      <c r="C18" s="6">
        <v>1</v>
      </c>
      <c r="D18" s="6">
        <v>1</v>
      </c>
      <c r="E18" s="6">
        <v>1</v>
      </c>
      <c r="F18" s="6">
        <v>1</v>
      </c>
      <c r="G18" s="6">
        <v>1</v>
      </c>
      <c r="H18" s="6">
        <v>1</v>
      </c>
      <c r="I18" s="30">
        <v>44000</v>
      </c>
      <c r="J18" s="30">
        <v>44000</v>
      </c>
      <c r="K18" s="30">
        <v>44000</v>
      </c>
    </row>
    <row r="19" spans="1:11" ht="30.75" customHeight="1" x14ac:dyDescent="0.2">
      <c r="A19" s="29" t="s">
        <v>373</v>
      </c>
      <c r="B19" s="2">
        <f t="shared" si="0"/>
        <v>6</v>
      </c>
      <c r="C19" s="6">
        <v>1</v>
      </c>
      <c r="D19" s="6">
        <v>1</v>
      </c>
      <c r="E19" s="6">
        <v>1</v>
      </c>
      <c r="F19" s="6">
        <v>1</v>
      </c>
      <c r="G19" s="6">
        <v>1</v>
      </c>
      <c r="H19" s="6">
        <v>1</v>
      </c>
      <c r="I19" s="30">
        <v>30000</v>
      </c>
      <c r="J19" s="30">
        <v>30000</v>
      </c>
      <c r="K19" s="30">
        <v>30000</v>
      </c>
    </row>
    <row r="20" spans="1:11" ht="18.75" customHeight="1" x14ac:dyDescent="0.2">
      <c r="A20" s="29" t="s">
        <v>596</v>
      </c>
      <c r="B20" s="2">
        <v>7</v>
      </c>
      <c r="C20" s="6">
        <v>1</v>
      </c>
      <c r="D20" s="6">
        <v>1</v>
      </c>
      <c r="E20" s="6">
        <v>1</v>
      </c>
      <c r="F20" s="6">
        <v>1</v>
      </c>
      <c r="G20" s="6">
        <v>1</v>
      </c>
      <c r="H20" s="6">
        <v>1</v>
      </c>
      <c r="I20" s="30">
        <v>212335</v>
      </c>
      <c r="J20" s="30">
        <v>212335</v>
      </c>
      <c r="K20" s="30">
        <v>212335</v>
      </c>
    </row>
    <row r="21" spans="1:11" ht="24" customHeight="1" x14ac:dyDescent="0.2">
      <c r="A21" s="6" t="s">
        <v>133</v>
      </c>
      <c r="B21" s="2">
        <v>9000</v>
      </c>
      <c r="C21" s="2" t="s">
        <v>11</v>
      </c>
      <c r="D21" s="2" t="s">
        <v>11</v>
      </c>
      <c r="E21" s="2" t="s">
        <v>11</v>
      </c>
      <c r="F21" s="2" t="s">
        <v>11</v>
      </c>
      <c r="G21" s="2" t="s">
        <v>11</v>
      </c>
      <c r="H21" s="2" t="s">
        <v>11</v>
      </c>
      <c r="I21" s="179">
        <f>SUM(I8:I20)</f>
        <v>653828.52</v>
      </c>
      <c r="J21" s="179">
        <f>SUM(J8:J20)</f>
        <v>653828.52</v>
      </c>
      <c r="K21" s="179">
        <f>SUM(K8:K20)+0.01</f>
        <v>653828.53</v>
      </c>
    </row>
    <row r="24" spans="1:11" x14ac:dyDescent="0.2">
      <c r="A24" s="14" t="s">
        <v>471</v>
      </c>
    </row>
    <row r="25" spans="1:11" x14ac:dyDescent="0.2">
      <c r="A25" s="388" t="s">
        <v>215</v>
      </c>
      <c r="B25" s="388" t="s">
        <v>1</v>
      </c>
      <c r="C25" s="388" t="s">
        <v>265</v>
      </c>
      <c r="D25" s="388"/>
      <c r="E25" s="388"/>
      <c r="F25" s="388" t="s">
        <v>266</v>
      </c>
      <c r="G25" s="388"/>
      <c r="H25" s="388"/>
      <c r="I25" s="388" t="s">
        <v>113</v>
      </c>
      <c r="J25" s="388"/>
      <c r="K25" s="388"/>
    </row>
    <row r="26" spans="1:11" x14ac:dyDescent="0.2">
      <c r="A26" s="388"/>
      <c r="B26" s="388"/>
      <c r="C26" s="16" t="s">
        <v>418</v>
      </c>
      <c r="D26" s="16" t="s">
        <v>548</v>
      </c>
      <c r="E26" s="16" t="s">
        <v>583</v>
      </c>
      <c r="F26" s="16" t="s">
        <v>418</v>
      </c>
      <c r="G26" s="16" t="s">
        <v>548</v>
      </c>
      <c r="H26" s="16" t="s">
        <v>583</v>
      </c>
      <c r="I26" s="16" t="s">
        <v>418</v>
      </c>
      <c r="J26" s="16" t="s">
        <v>548</v>
      </c>
      <c r="K26" s="16" t="s">
        <v>583</v>
      </c>
    </row>
    <row r="27" spans="1:11" ht="38.25" x14ac:dyDescent="0.2">
      <c r="A27" s="388"/>
      <c r="B27" s="388"/>
      <c r="C27" s="2" t="s">
        <v>73</v>
      </c>
      <c r="D27" s="2" t="s">
        <v>74</v>
      </c>
      <c r="E27" s="2" t="s">
        <v>75</v>
      </c>
      <c r="F27" s="2" t="s">
        <v>73</v>
      </c>
      <c r="G27" s="2" t="s">
        <v>74</v>
      </c>
      <c r="H27" s="2" t="s">
        <v>75</v>
      </c>
      <c r="I27" s="2" t="s">
        <v>73</v>
      </c>
      <c r="J27" s="2" t="s">
        <v>74</v>
      </c>
      <c r="K27" s="2" t="s">
        <v>75</v>
      </c>
    </row>
    <row r="28" spans="1:11" x14ac:dyDescent="0.2">
      <c r="A28" s="2">
        <v>1</v>
      </c>
      <c r="B28" s="2">
        <v>2</v>
      </c>
      <c r="C28" s="2">
        <v>3</v>
      </c>
      <c r="D28" s="2">
        <v>4</v>
      </c>
      <c r="E28" s="2">
        <v>5</v>
      </c>
      <c r="F28" s="2">
        <v>6</v>
      </c>
      <c r="G28" s="2">
        <v>7</v>
      </c>
      <c r="H28" s="2">
        <v>8</v>
      </c>
      <c r="I28" s="2">
        <v>9</v>
      </c>
      <c r="J28" s="2">
        <v>10</v>
      </c>
      <c r="K28" s="2">
        <v>11</v>
      </c>
    </row>
    <row r="29" spans="1:11" ht="24" customHeight="1" x14ac:dyDescent="0.2">
      <c r="A29" s="6" t="s">
        <v>374</v>
      </c>
      <c r="B29" s="2">
        <v>1</v>
      </c>
      <c r="C29" s="6">
        <v>1</v>
      </c>
      <c r="D29" s="6">
        <v>1</v>
      </c>
      <c r="E29" s="6">
        <v>1</v>
      </c>
      <c r="F29" s="6">
        <v>1</v>
      </c>
      <c r="G29" s="6">
        <v>1</v>
      </c>
      <c r="H29" s="6">
        <v>1</v>
      </c>
      <c r="I29" s="5">
        <v>30000</v>
      </c>
      <c r="J29" s="5">
        <v>30000</v>
      </c>
      <c r="K29" s="5">
        <v>30000</v>
      </c>
    </row>
    <row r="30" spans="1:11" ht="27" customHeight="1" x14ac:dyDescent="0.2">
      <c r="A30" s="6" t="s">
        <v>330</v>
      </c>
      <c r="B30" s="2">
        <f>B29+1</f>
        <v>2</v>
      </c>
      <c r="C30" s="6">
        <v>1</v>
      </c>
      <c r="D30" s="6">
        <v>1</v>
      </c>
      <c r="E30" s="6">
        <v>1</v>
      </c>
      <c r="F30" s="6">
        <v>1</v>
      </c>
      <c r="G30" s="6">
        <v>1</v>
      </c>
      <c r="H30" s="6">
        <v>1</v>
      </c>
      <c r="I30" s="5">
        <v>60000</v>
      </c>
      <c r="J30" s="5">
        <v>60000</v>
      </c>
      <c r="K30" s="5">
        <v>60000</v>
      </c>
    </row>
    <row r="31" spans="1:11" ht="21" customHeight="1" x14ac:dyDescent="0.2">
      <c r="A31" s="6" t="s">
        <v>133</v>
      </c>
      <c r="B31" s="2">
        <v>9000</v>
      </c>
      <c r="C31" s="2" t="s">
        <v>11</v>
      </c>
      <c r="D31" s="2" t="s">
        <v>11</v>
      </c>
      <c r="E31" s="2" t="s">
        <v>11</v>
      </c>
      <c r="F31" s="2" t="s">
        <v>11</v>
      </c>
      <c r="G31" s="2" t="s">
        <v>11</v>
      </c>
      <c r="H31" s="2" t="s">
        <v>11</v>
      </c>
      <c r="I31" s="179">
        <f>SUM(I29:I30)</f>
        <v>90000</v>
      </c>
      <c r="J31" s="179">
        <f>SUM(J29:J30)</f>
        <v>90000</v>
      </c>
      <c r="K31" s="179">
        <f>SUM(K29:K30)</f>
        <v>90000</v>
      </c>
    </row>
    <row r="33" spans="1:11" x14ac:dyDescent="0.2">
      <c r="A33" s="14" t="s">
        <v>579</v>
      </c>
      <c r="B33" s="41"/>
      <c r="C33" s="41"/>
    </row>
    <row r="34" spans="1:11" x14ac:dyDescent="0.2">
      <c r="A34" s="388" t="s">
        <v>215</v>
      </c>
      <c r="B34" s="388" t="s">
        <v>1</v>
      </c>
      <c r="C34" s="388" t="s">
        <v>265</v>
      </c>
      <c r="D34" s="388"/>
      <c r="E34" s="388"/>
      <c r="F34" s="388" t="s">
        <v>266</v>
      </c>
      <c r="G34" s="388"/>
      <c r="H34" s="388"/>
      <c r="I34" s="388" t="s">
        <v>113</v>
      </c>
      <c r="J34" s="388"/>
      <c r="K34" s="388"/>
    </row>
    <row r="35" spans="1:11" x14ac:dyDescent="0.2">
      <c r="A35" s="388"/>
      <c r="B35" s="388"/>
      <c r="C35" s="16" t="s">
        <v>418</v>
      </c>
      <c r="D35" s="16" t="s">
        <v>548</v>
      </c>
      <c r="E35" s="16" t="s">
        <v>583</v>
      </c>
      <c r="F35" s="16" t="s">
        <v>418</v>
      </c>
      <c r="G35" s="16" t="s">
        <v>548</v>
      </c>
      <c r="H35" s="16" t="s">
        <v>583</v>
      </c>
      <c r="I35" s="16" t="s">
        <v>418</v>
      </c>
      <c r="J35" s="16" t="s">
        <v>548</v>
      </c>
      <c r="K35" s="16" t="s">
        <v>583</v>
      </c>
    </row>
    <row r="36" spans="1:11" ht="38.25" x14ac:dyDescent="0.2">
      <c r="A36" s="388"/>
      <c r="B36" s="388"/>
      <c r="C36" s="2" t="s">
        <v>73</v>
      </c>
      <c r="D36" s="2" t="s">
        <v>74</v>
      </c>
      <c r="E36" s="2" t="s">
        <v>75</v>
      </c>
      <c r="F36" s="2" t="s">
        <v>73</v>
      </c>
      <c r="G36" s="2" t="s">
        <v>74</v>
      </c>
      <c r="H36" s="2" t="s">
        <v>75</v>
      </c>
      <c r="I36" s="2" t="s">
        <v>73</v>
      </c>
      <c r="J36" s="2" t="s">
        <v>74</v>
      </c>
      <c r="K36" s="2" t="s">
        <v>75</v>
      </c>
    </row>
    <row r="37" spans="1:11" ht="18.75" customHeight="1" x14ac:dyDescent="0.2">
      <c r="A37" s="2">
        <v>1</v>
      </c>
      <c r="B37" s="2">
        <v>2</v>
      </c>
      <c r="C37" s="2">
        <v>3</v>
      </c>
      <c r="D37" s="2">
        <v>4</v>
      </c>
      <c r="E37" s="2">
        <v>5</v>
      </c>
      <c r="F37" s="2">
        <v>6</v>
      </c>
      <c r="G37" s="2">
        <v>7</v>
      </c>
      <c r="H37" s="2">
        <v>8</v>
      </c>
      <c r="I37" s="2">
        <v>9</v>
      </c>
      <c r="J37" s="2">
        <v>10</v>
      </c>
      <c r="K37" s="2">
        <v>11</v>
      </c>
    </row>
    <row r="38" spans="1:11" ht="22.5" customHeight="1" x14ac:dyDescent="0.2">
      <c r="A38" s="108" t="s">
        <v>598</v>
      </c>
      <c r="B38" s="2">
        <v>1</v>
      </c>
      <c r="C38" s="6">
        <v>1</v>
      </c>
      <c r="D38" s="6">
        <v>1</v>
      </c>
      <c r="E38" s="6">
        <v>1</v>
      </c>
      <c r="F38" s="259">
        <v>1</v>
      </c>
      <c r="G38" s="6">
        <v>1</v>
      </c>
      <c r="H38" s="6">
        <v>1</v>
      </c>
      <c r="I38" s="5">
        <v>2420000</v>
      </c>
      <c r="J38" s="5">
        <v>2420000</v>
      </c>
      <c r="K38" s="5">
        <v>2420000</v>
      </c>
    </row>
    <row r="39" spans="1:11" ht="23.25" customHeight="1" x14ac:dyDescent="0.2">
      <c r="A39" s="6" t="s">
        <v>133</v>
      </c>
      <c r="B39" s="2">
        <v>9000</v>
      </c>
      <c r="C39" s="2" t="s">
        <v>11</v>
      </c>
      <c r="D39" s="2" t="s">
        <v>11</v>
      </c>
      <c r="E39" s="2" t="s">
        <v>11</v>
      </c>
      <c r="F39" s="2" t="s">
        <v>11</v>
      </c>
      <c r="G39" s="2" t="s">
        <v>11</v>
      </c>
      <c r="H39" s="2" t="s">
        <v>11</v>
      </c>
      <c r="I39" s="179">
        <f>SUM(I38:I38)</f>
        <v>2420000</v>
      </c>
      <c r="J39" s="179">
        <f>SUM(J38:J38)</f>
        <v>2420000</v>
      </c>
      <c r="K39" s="179">
        <f>SUM(K38:K38)</f>
        <v>2420000</v>
      </c>
    </row>
    <row r="40" spans="1:11" hidden="1" x14ac:dyDescent="0.2"/>
    <row r="41" spans="1:11" hidden="1" x14ac:dyDescent="0.2">
      <c r="I41" s="28"/>
      <c r="J41" s="28"/>
      <c r="K41" s="28"/>
    </row>
    <row r="42" spans="1:11" hidden="1" x14ac:dyDescent="0.2"/>
    <row r="43" spans="1:11" hidden="1" x14ac:dyDescent="0.2">
      <c r="A43" s="14" t="s">
        <v>513</v>
      </c>
    </row>
    <row r="44" spans="1:11" hidden="1" x14ac:dyDescent="0.2">
      <c r="A44" s="388" t="s">
        <v>215</v>
      </c>
      <c r="B44" s="388" t="s">
        <v>1</v>
      </c>
      <c r="C44" s="388" t="s">
        <v>265</v>
      </c>
      <c r="D44" s="388"/>
      <c r="E44" s="388"/>
      <c r="F44" s="388" t="s">
        <v>266</v>
      </c>
      <c r="G44" s="388"/>
      <c r="H44" s="388"/>
      <c r="I44" s="388" t="s">
        <v>113</v>
      </c>
      <c r="J44" s="388"/>
      <c r="K44" s="388"/>
    </row>
    <row r="45" spans="1:11" hidden="1" x14ac:dyDescent="0.2">
      <c r="A45" s="388"/>
      <c r="B45" s="388"/>
      <c r="C45" s="16" t="s">
        <v>417</v>
      </c>
      <c r="D45" s="16" t="s">
        <v>418</v>
      </c>
      <c r="E45" s="16" t="s">
        <v>548</v>
      </c>
      <c r="F45" s="16" t="s">
        <v>417</v>
      </c>
      <c r="G45" s="16" t="s">
        <v>418</v>
      </c>
      <c r="H45" s="16" t="s">
        <v>548</v>
      </c>
      <c r="I45" s="16" t="s">
        <v>417</v>
      </c>
      <c r="J45" s="16" t="s">
        <v>418</v>
      </c>
      <c r="K45" s="16" t="s">
        <v>548</v>
      </c>
    </row>
    <row r="46" spans="1:11" ht="38.25" hidden="1" x14ac:dyDescent="0.2">
      <c r="A46" s="388"/>
      <c r="B46" s="388"/>
      <c r="C46" s="113" t="s">
        <v>73</v>
      </c>
      <c r="D46" s="113" t="s">
        <v>74</v>
      </c>
      <c r="E46" s="113" t="s">
        <v>75</v>
      </c>
      <c r="F46" s="113" t="s">
        <v>73</v>
      </c>
      <c r="G46" s="113" t="s">
        <v>74</v>
      </c>
      <c r="H46" s="113" t="s">
        <v>75</v>
      </c>
      <c r="I46" s="113" t="s">
        <v>73</v>
      </c>
      <c r="J46" s="113" t="s">
        <v>74</v>
      </c>
      <c r="K46" s="113" t="s">
        <v>75</v>
      </c>
    </row>
    <row r="47" spans="1:11" hidden="1" x14ac:dyDescent="0.2">
      <c r="A47" s="113">
        <v>1</v>
      </c>
      <c r="B47" s="113">
        <v>2</v>
      </c>
      <c r="C47" s="113">
        <v>3</v>
      </c>
      <c r="D47" s="113">
        <v>4</v>
      </c>
      <c r="E47" s="113">
        <v>5</v>
      </c>
      <c r="F47" s="113">
        <v>6</v>
      </c>
      <c r="G47" s="113">
        <v>7</v>
      </c>
      <c r="H47" s="113">
        <v>8</v>
      </c>
      <c r="I47" s="113">
        <v>9</v>
      </c>
      <c r="J47" s="113">
        <v>10</v>
      </c>
      <c r="K47" s="113">
        <v>11</v>
      </c>
    </row>
    <row r="48" spans="1:11" ht="19.5" hidden="1" customHeight="1" x14ac:dyDescent="0.2">
      <c r="A48" s="108"/>
      <c r="B48" s="113">
        <v>1</v>
      </c>
      <c r="C48" s="114">
        <v>1</v>
      </c>
      <c r="D48" s="114"/>
      <c r="E48" s="114"/>
      <c r="F48" s="114">
        <v>1</v>
      </c>
      <c r="G48" s="114"/>
      <c r="H48" s="114"/>
      <c r="I48" s="115"/>
      <c r="J48" s="115"/>
      <c r="K48" s="115"/>
    </row>
    <row r="49" spans="1:11" ht="15.75" hidden="1" customHeight="1" x14ac:dyDescent="0.2">
      <c r="A49" s="108"/>
      <c r="B49" s="113"/>
      <c r="C49" s="114">
        <v>1</v>
      </c>
      <c r="D49" s="114"/>
      <c r="E49" s="114"/>
      <c r="F49" s="114">
        <v>1</v>
      </c>
      <c r="G49" s="114"/>
      <c r="H49" s="114"/>
      <c r="I49" s="115"/>
      <c r="J49" s="115"/>
      <c r="K49" s="115"/>
    </row>
    <row r="50" spans="1:11" ht="15.75" hidden="1" customHeight="1" x14ac:dyDescent="0.2">
      <c r="A50" s="108"/>
      <c r="B50" s="118"/>
      <c r="C50" s="119">
        <v>1</v>
      </c>
      <c r="D50" s="119"/>
      <c r="E50" s="119"/>
      <c r="F50" s="119">
        <v>1</v>
      </c>
      <c r="G50" s="119"/>
      <c r="H50" s="119"/>
      <c r="I50" s="120"/>
      <c r="J50" s="120"/>
      <c r="K50" s="120"/>
    </row>
    <row r="51" spans="1:11" ht="21.75" hidden="1" customHeight="1" x14ac:dyDescent="0.2">
      <c r="A51" s="114" t="s">
        <v>133</v>
      </c>
      <c r="B51" s="113">
        <v>9000</v>
      </c>
      <c r="C51" s="113" t="s">
        <v>11</v>
      </c>
      <c r="D51" s="113" t="s">
        <v>11</v>
      </c>
      <c r="E51" s="113" t="s">
        <v>11</v>
      </c>
      <c r="F51" s="113" t="s">
        <v>11</v>
      </c>
      <c r="G51" s="113" t="s">
        <v>11</v>
      </c>
      <c r="H51" s="113" t="s">
        <v>11</v>
      </c>
      <c r="I51" s="40">
        <f>I48+I49+I50</f>
        <v>0</v>
      </c>
      <c r="J51" s="40">
        <f>SUM(J48:J48)</f>
        <v>0</v>
      </c>
      <c r="K51" s="40">
        <f>SUM(K48:K48)</f>
        <v>0</v>
      </c>
    </row>
    <row r="53" spans="1:11" ht="19.5" customHeight="1" x14ac:dyDescent="0.2">
      <c r="A53" s="14" t="s">
        <v>600</v>
      </c>
      <c r="B53" s="41"/>
      <c r="C53" s="41"/>
    </row>
    <row r="54" spans="1:11" ht="43.5" customHeight="1" x14ac:dyDescent="0.2">
      <c r="A54" s="388" t="s">
        <v>215</v>
      </c>
      <c r="B54" s="388" t="s">
        <v>1</v>
      </c>
      <c r="C54" s="388" t="s">
        <v>265</v>
      </c>
      <c r="D54" s="388"/>
      <c r="E54" s="388"/>
      <c r="F54" s="388" t="s">
        <v>266</v>
      </c>
      <c r="G54" s="388"/>
      <c r="H54" s="388"/>
      <c r="I54" s="388" t="s">
        <v>113</v>
      </c>
      <c r="J54" s="388"/>
      <c r="K54" s="388"/>
    </row>
    <row r="55" spans="1:11" ht="43.5" customHeight="1" x14ac:dyDescent="0.2">
      <c r="A55" s="388"/>
      <c r="B55" s="388"/>
      <c r="C55" s="16" t="s">
        <v>418</v>
      </c>
      <c r="D55" s="16" t="s">
        <v>548</v>
      </c>
      <c r="E55" s="16" t="s">
        <v>583</v>
      </c>
      <c r="F55" s="16" t="s">
        <v>418</v>
      </c>
      <c r="G55" s="16" t="s">
        <v>548</v>
      </c>
      <c r="H55" s="16" t="s">
        <v>583</v>
      </c>
      <c r="I55" s="16" t="s">
        <v>418</v>
      </c>
      <c r="J55" s="16" t="s">
        <v>548</v>
      </c>
      <c r="K55" s="16" t="s">
        <v>583</v>
      </c>
    </row>
    <row r="56" spans="1:11" ht="24.75" customHeight="1" x14ac:dyDescent="0.2">
      <c r="A56" s="388"/>
      <c r="B56" s="388"/>
      <c r="C56" s="298" t="s">
        <v>73</v>
      </c>
      <c r="D56" s="298" t="s">
        <v>74</v>
      </c>
      <c r="E56" s="298" t="s">
        <v>75</v>
      </c>
      <c r="F56" s="298" t="s">
        <v>73</v>
      </c>
      <c r="G56" s="298" t="s">
        <v>74</v>
      </c>
      <c r="H56" s="298" t="s">
        <v>75</v>
      </c>
      <c r="I56" s="298" t="s">
        <v>73</v>
      </c>
      <c r="J56" s="298" t="s">
        <v>74</v>
      </c>
      <c r="K56" s="298" t="s">
        <v>75</v>
      </c>
    </row>
    <row r="57" spans="1:11" x14ac:dyDescent="0.2">
      <c r="A57" s="298">
        <v>1</v>
      </c>
      <c r="B57" s="298">
        <v>2</v>
      </c>
      <c r="C57" s="298">
        <v>3</v>
      </c>
      <c r="D57" s="298">
        <v>4</v>
      </c>
      <c r="E57" s="298">
        <v>5</v>
      </c>
      <c r="F57" s="298">
        <v>6</v>
      </c>
      <c r="G57" s="298">
        <v>7</v>
      </c>
      <c r="H57" s="298">
        <v>8</v>
      </c>
      <c r="I57" s="298">
        <v>9</v>
      </c>
      <c r="J57" s="298">
        <v>10</v>
      </c>
      <c r="K57" s="298">
        <v>11</v>
      </c>
    </row>
    <row r="58" spans="1:11" x14ac:dyDescent="0.2">
      <c r="A58" s="108" t="s">
        <v>598</v>
      </c>
      <c r="B58" s="298">
        <v>1</v>
      </c>
      <c r="C58" s="299">
        <v>1</v>
      </c>
      <c r="D58" s="299">
        <v>1</v>
      </c>
      <c r="E58" s="299">
        <v>1</v>
      </c>
      <c r="F58" s="300">
        <v>1</v>
      </c>
      <c r="G58" s="299">
        <v>1</v>
      </c>
      <c r="H58" s="299">
        <v>1</v>
      </c>
      <c r="I58" s="300">
        <v>24450</v>
      </c>
      <c r="J58" s="300">
        <v>24450</v>
      </c>
      <c r="K58" s="300">
        <v>24450</v>
      </c>
    </row>
    <row r="59" spans="1:11" x14ac:dyDescent="0.2">
      <c r="A59" s="299" t="s">
        <v>133</v>
      </c>
      <c r="B59" s="298">
        <v>9000</v>
      </c>
      <c r="C59" s="298" t="s">
        <v>11</v>
      </c>
      <c r="D59" s="350" t="s">
        <v>11</v>
      </c>
      <c r="E59" s="298" t="s">
        <v>11</v>
      </c>
      <c r="F59" s="298" t="s">
        <v>11</v>
      </c>
      <c r="G59" s="298" t="s">
        <v>11</v>
      </c>
      <c r="H59" s="298" t="s">
        <v>11</v>
      </c>
      <c r="I59" s="179">
        <f>SUM(I58:I58)</f>
        <v>24450</v>
      </c>
      <c r="J59" s="179">
        <f>SUM(J58:J58)</f>
        <v>24450</v>
      </c>
      <c r="K59" s="179">
        <f>SUM(K58:K58)</f>
        <v>24450</v>
      </c>
    </row>
    <row r="64" spans="1:11" ht="18.75" x14ac:dyDescent="0.3">
      <c r="I64" s="32">
        <f>I59+I39+I31++I21</f>
        <v>3188278.52</v>
      </c>
      <c r="J64" s="32">
        <f t="shared" ref="J64:K64" si="1">J59+J39+J31++J21</f>
        <v>3188278.52</v>
      </c>
      <c r="K64" s="32">
        <f t="shared" si="1"/>
        <v>3188278.5300000003</v>
      </c>
    </row>
  </sheetData>
  <mergeCells count="25">
    <mergeCell ref="A54:A56"/>
    <mergeCell ref="B54:B56"/>
    <mergeCell ref="C54:E54"/>
    <mergeCell ref="F54:H54"/>
    <mergeCell ref="I54:K54"/>
    <mergeCell ref="A44:A46"/>
    <mergeCell ref="B44:B46"/>
    <mergeCell ref="C44:E44"/>
    <mergeCell ref="F44:H44"/>
    <mergeCell ref="I44:K44"/>
    <mergeCell ref="I25:K25"/>
    <mergeCell ref="A4:A6"/>
    <mergeCell ref="B4:B6"/>
    <mergeCell ref="C4:E4"/>
    <mergeCell ref="F4:H4"/>
    <mergeCell ref="I4:K4"/>
    <mergeCell ref="A25:A27"/>
    <mergeCell ref="B25:B27"/>
    <mergeCell ref="C25:E25"/>
    <mergeCell ref="F25:H25"/>
    <mergeCell ref="I34:K34"/>
    <mergeCell ref="A34:A36"/>
    <mergeCell ref="B34:B36"/>
    <mergeCell ref="C34:E34"/>
    <mergeCell ref="F34:H34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  <rowBreaks count="2" manualBreakCount="2">
    <brk id="23" max="16383" man="1"/>
    <brk id="32" max="16383" man="1"/>
  </rowBreaks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9"/>
  <sheetViews>
    <sheetView workbookViewId="0">
      <selection activeCell="K4" sqref="K4"/>
    </sheetView>
  </sheetViews>
  <sheetFormatPr defaultRowHeight="12.75" x14ac:dyDescent="0.2"/>
  <cols>
    <col min="1" max="1" width="18.5703125" style="3" customWidth="1"/>
    <col min="2" max="2" width="9.140625" style="3"/>
    <col min="3" max="11" width="18.140625" style="3" customWidth="1"/>
    <col min="12" max="16384" width="9.140625" style="3"/>
  </cols>
  <sheetData>
    <row r="1" spans="1:11" x14ac:dyDescent="0.2">
      <c r="A1" s="3" t="s">
        <v>270</v>
      </c>
    </row>
    <row r="2" spans="1:11" ht="82.5" customHeight="1" x14ac:dyDescent="0.2">
      <c r="A2" s="388" t="s">
        <v>215</v>
      </c>
      <c r="B2" s="388" t="s">
        <v>1</v>
      </c>
      <c r="C2" s="388" t="s">
        <v>268</v>
      </c>
      <c r="D2" s="388"/>
      <c r="E2" s="388"/>
      <c r="F2" s="388" t="s">
        <v>269</v>
      </c>
      <c r="G2" s="388"/>
      <c r="H2" s="388"/>
      <c r="I2" s="388" t="s">
        <v>113</v>
      </c>
      <c r="J2" s="388"/>
      <c r="K2" s="388"/>
    </row>
    <row r="3" spans="1:11" x14ac:dyDescent="0.2">
      <c r="A3" s="388"/>
      <c r="B3" s="388"/>
      <c r="C3" s="16" t="s">
        <v>417</v>
      </c>
      <c r="D3" s="16" t="s">
        <v>418</v>
      </c>
      <c r="E3" s="16" t="s">
        <v>548</v>
      </c>
      <c r="F3" s="16" t="s">
        <v>417</v>
      </c>
      <c r="G3" s="16" t="s">
        <v>418</v>
      </c>
      <c r="H3" s="16" t="s">
        <v>548</v>
      </c>
      <c r="I3" s="16" t="s">
        <v>417</v>
      </c>
      <c r="J3" s="16" t="s">
        <v>418</v>
      </c>
      <c r="K3" s="16" t="s">
        <v>548</v>
      </c>
    </row>
    <row r="4" spans="1:11" ht="25.5" x14ac:dyDescent="0.2">
      <c r="A4" s="388"/>
      <c r="B4" s="388"/>
      <c r="C4" s="2" t="s">
        <v>73</v>
      </c>
      <c r="D4" s="2" t="s">
        <v>74</v>
      </c>
      <c r="E4" s="2" t="s">
        <v>75</v>
      </c>
      <c r="F4" s="2" t="s">
        <v>73</v>
      </c>
      <c r="G4" s="2" t="s">
        <v>74</v>
      </c>
      <c r="H4" s="2" t="s">
        <v>75</v>
      </c>
      <c r="I4" s="2" t="s">
        <v>73</v>
      </c>
      <c r="J4" s="2" t="s">
        <v>74</v>
      </c>
      <c r="K4" s="2" t="s">
        <v>75</v>
      </c>
    </row>
    <row r="5" spans="1:11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1" x14ac:dyDescent="0.2">
      <c r="A6" s="6"/>
      <c r="B6" s="2">
        <v>1</v>
      </c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6"/>
      <c r="B7" s="2">
        <v>2</v>
      </c>
      <c r="C7" s="6"/>
      <c r="D7" s="6"/>
      <c r="E7" s="6"/>
      <c r="F7" s="6"/>
      <c r="G7" s="6"/>
      <c r="H7" s="6"/>
      <c r="I7" s="6"/>
      <c r="J7" s="6"/>
      <c r="K7" s="6"/>
    </row>
    <row r="8" spans="1:1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2">
      <c r="A9" s="6" t="s">
        <v>133</v>
      </c>
      <c r="B9" s="2">
        <v>9000</v>
      </c>
      <c r="C9" s="2" t="s">
        <v>11</v>
      </c>
      <c r="D9" s="2" t="s">
        <v>11</v>
      </c>
      <c r="E9" s="2" t="s">
        <v>11</v>
      </c>
      <c r="F9" s="2" t="s">
        <v>11</v>
      </c>
      <c r="G9" s="2" t="s">
        <v>11</v>
      </c>
      <c r="H9" s="2" t="s">
        <v>11</v>
      </c>
      <c r="I9" s="6"/>
      <c r="J9" s="6"/>
      <c r="K9" s="6"/>
    </row>
  </sheetData>
  <mergeCells count="5">
    <mergeCell ref="I2:K2"/>
    <mergeCell ref="A2:A4"/>
    <mergeCell ref="B2:B4"/>
    <mergeCell ref="C2:E2"/>
    <mergeCell ref="F2:H2"/>
  </mergeCells>
  <phoneticPr fontId="15" type="noConversion"/>
  <pageMargins left="0.7" right="0.7" top="0.75" bottom="0.75" header="0.3" footer="0.3"/>
  <pageSetup paperSize="9" scale="6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0"/>
  <sheetViews>
    <sheetView workbookViewId="0">
      <selection activeCell="C4" sqref="C4:E4"/>
    </sheetView>
  </sheetViews>
  <sheetFormatPr defaultRowHeight="12.75" x14ac:dyDescent="0.2"/>
  <cols>
    <col min="1" max="1" width="19.5703125" style="3" customWidth="1"/>
    <col min="2" max="2" width="9.140625" style="3"/>
    <col min="3" max="11" width="14.5703125" style="3" customWidth="1"/>
    <col min="12" max="16384" width="9.140625" style="3"/>
  </cols>
  <sheetData>
    <row r="1" spans="1:11" x14ac:dyDescent="0.2">
      <c r="A1" s="3" t="s">
        <v>273</v>
      </c>
    </row>
    <row r="3" spans="1:11" ht="25.5" customHeight="1" x14ac:dyDescent="0.2">
      <c r="A3" s="388" t="s">
        <v>215</v>
      </c>
      <c r="B3" s="388" t="s">
        <v>1</v>
      </c>
      <c r="C3" s="388" t="s">
        <v>271</v>
      </c>
      <c r="D3" s="388"/>
      <c r="E3" s="388"/>
      <c r="F3" s="388" t="s">
        <v>272</v>
      </c>
      <c r="G3" s="388"/>
      <c r="H3" s="388"/>
      <c r="I3" s="388" t="s">
        <v>113</v>
      </c>
      <c r="J3" s="388"/>
      <c r="K3" s="388"/>
    </row>
    <row r="4" spans="1:11" x14ac:dyDescent="0.2">
      <c r="A4" s="388"/>
      <c r="B4" s="388"/>
      <c r="C4" s="16" t="s">
        <v>417</v>
      </c>
      <c r="D4" s="16" t="s">
        <v>418</v>
      </c>
      <c r="E4" s="16" t="s">
        <v>548</v>
      </c>
      <c r="F4" s="16" t="s">
        <v>417</v>
      </c>
      <c r="G4" s="16" t="s">
        <v>418</v>
      </c>
      <c r="H4" s="16" t="s">
        <v>548</v>
      </c>
      <c r="I4" s="16" t="s">
        <v>417</v>
      </c>
      <c r="J4" s="16" t="s">
        <v>418</v>
      </c>
      <c r="K4" s="16" t="s">
        <v>548</v>
      </c>
    </row>
    <row r="5" spans="1:11" ht="38.25" x14ac:dyDescent="0.2">
      <c r="A5" s="388"/>
      <c r="B5" s="388"/>
      <c r="C5" s="2" t="s">
        <v>73</v>
      </c>
      <c r="D5" s="2" t="s">
        <v>74</v>
      </c>
      <c r="E5" s="2" t="s">
        <v>75</v>
      </c>
      <c r="F5" s="2" t="s">
        <v>73</v>
      </c>
      <c r="G5" s="2" t="s">
        <v>74</v>
      </c>
      <c r="H5" s="2" t="s">
        <v>75</v>
      </c>
      <c r="I5" s="2" t="s">
        <v>73</v>
      </c>
      <c r="J5" s="2" t="s">
        <v>74</v>
      </c>
      <c r="K5" s="2" t="s">
        <v>75</v>
      </c>
    </row>
    <row r="6" spans="1:11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 x14ac:dyDescent="0.2">
      <c r="A7" s="6"/>
      <c r="B7" s="2">
        <v>1</v>
      </c>
      <c r="C7" s="6"/>
      <c r="D7" s="6"/>
      <c r="E7" s="6"/>
      <c r="F7" s="6"/>
      <c r="G7" s="6"/>
      <c r="H7" s="6"/>
      <c r="I7" s="6"/>
      <c r="J7" s="6"/>
      <c r="K7" s="6"/>
    </row>
    <row r="8" spans="1:11" x14ac:dyDescent="0.2">
      <c r="A8" s="6"/>
      <c r="B8" s="2">
        <v>2</v>
      </c>
      <c r="C8" s="6"/>
      <c r="D8" s="6"/>
      <c r="E8" s="6"/>
      <c r="F8" s="6"/>
      <c r="G8" s="6"/>
      <c r="H8" s="6"/>
      <c r="I8" s="6"/>
      <c r="J8" s="6"/>
      <c r="K8" s="6"/>
    </row>
    <row r="9" spans="1:1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2">
      <c r="A10" s="6" t="s">
        <v>133</v>
      </c>
      <c r="B10" s="2">
        <v>9000</v>
      </c>
      <c r="C10" s="2" t="s">
        <v>11</v>
      </c>
      <c r="D10" s="2" t="s">
        <v>11</v>
      </c>
      <c r="E10" s="2" t="s">
        <v>11</v>
      </c>
      <c r="F10" s="2" t="s">
        <v>11</v>
      </c>
      <c r="G10" s="2" t="s">
        <v>11</v>
      </c>
      <c r="H10" s="2" t="s">
        <v>11</v>
      </c>
      <c r="I10" s="6"/>
      <c r="J10" s="6"/>
      <c r="K10" s="6"/>
    </row>
  </sheetData>
  <mergeCells count="5">
    <mergeCell ref="I3:K3"/>
    <mergeCell ref="A3:A5"/>
    <mergeCell ref="B3:B5"/>
    <mergeCell ref="C3:E3"/>
    <mergeCell ref="F3:H3"/>
  </mergeCells>
  <phoneticPr fontId="15" type="noConversion"/>
  <pageMargins left="0.7" right="0.7" top="0.75" bottom="0.75" header="0.3" footer="0.3"/>
  <pageSetup paperSize="9" scale="82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47"/>
  <sheetViews>
    <sheetView topLeftCell="A25" workbookViewId="0">
      <selection activeCell="A143" sqref="A143"/>
    </sheetView>
  </sheetViews>
  <sheetFormatPr defaultRowHeight="12.75" x14ac:dyDescent="0.2"/>
  <cols>
    <col min="1" max="1" width="28" style="3" customWidth="1"/>
    <col min="2" max="2" width="8.42578125" style="3" customWidth="1"/>
    <col min="3" max="3" width="13.7109375" style="3" customWidth="1"/>
    <col min="4" max="4" width="13.28515625" style="3" customWidth="1"/>
    <col min="5" max="5" width="12.85546875" style="3" customWidth="1"/>
    <col min="6" max="6" width="17.5703125" style="3" customWidth="1"/>
    <col min="7" max="8" width="18.7109375" style="3" customWidth="1"/>
    <col min="9" max="9" width="15.140625" style="3" customWidth="1"/>
    <col min="10" max="16384" width="9.140625" style="3"/>
  </cols>
  <sheetData>
    <row r="1" spans="1:8" ht="15.75" x14ac:dyDescent="0.25">
      <c r="A1" s="66" t="s">
        <v>333</v>
      </c>
      <c r="B1" s="66"/>
      <c r="C1" s="66"/>
      <c r="D1" s="66"/>
      <c r="E1" s="66"/>
      <c r="F1" s="66"/>
      <c r="G1" s="66"/>
      <c r="H1" s="66"/>
    </row>
    <row r="2" spans="1:8" ht="15.75" x14ac:dyDescent="0.25">
      <c r="A2" s="66"/>
      <c r="B2" s="66"/>
      <c r="C2" s="66"/>
      <c r="D2" s="66"/>
      <c r="E2" s="66"/>
      <c r="F2" s="66"/>
      <c r="G2" s="66"/>
      <c r="H2" s="66"/>
    </row>
    <row r="3" spans="1:8" ht="15.75" x14ac:dyDescent="0.25">
      <c r="A3" s="76" t="s">
        <v>451</v>
      </c>
      <c r="B3" s="66"/>
      <c r="C3" s="66"/>
      <c r="D3" s="66"/>
      <c r="E3" s="66"/>
      <c r="F3" s="66"/>
      <c r="G3" s="66"/>
      <c r="H3" s="66"/>
    </row>
    <row r="4" spans="1:8" ht="15.75" x14ac:dyDescent="0.2">
      <c r="A4" s="373" t="s">
        <v>215</v>
      </c>
      <c r="B4" s="373" t="s">
        <v>1</v>
      </c>
      <c r="C4" s="373" t="s">
        <v>334</v>
      </c>
      <c r="D4" s="373"/>
      <c r="E4" s="373"/>
      <c r="F4" s="373" t="s">
        <v>335</v>
      </c>
      <c r="G4" s="373"/>
      <c r="H4" s="373"/>
    </row>
    <row r="5" spans="1:8" ht="18" customHeight="1" x14ac:dyDescent="0.2">
      <c r="A5" s="373"/>
      <c r="B5" s="373"/>
      <c r="C5" s="295" t="s">
        <v>418</v>
      </c>
      <c r="D5" s="295" t="s">
        <v>548</v>
      </c>
      <c r="E5" s="295" t="s">
        <v>583</v>
      </c>
      <c r="F5" s="295" t="s">
        <v>418</v>
      </c>
      <c r="G5" s="295" t="s">
        <v>548</v>
      </c>
      <c r="H5" s="295" t="s">
        <v>583</v>
      </c>
    </row>
    <row r="6" spans="1:8" ht="47.25" x14ac:dyDescent="0.2">
      <c r="A6" s="373"/>
      <c r="B6" s="373"/>
      <c r="C6" s="45" t="s">
        <v>73</v>
      </c>
      <c r="D6" s="45" t="s">
        <v>74</v>
      </c>
      <c r="E6" s="45" t="s">
        <v>75</v>
      </c>
      <c r="F6" s="45" t="s">
        <v>73</v>
      </c>
      <c r="G6" s="45" t="s">
        <v>74</v>
      </c>
      <c r="H6" s="45" t="s">
        <v>75</v>
      </c>
    </row>
    <row r="7" spans="1:8" ht="15.75" x14ac:dyDescent="0.2">
      <c r="A7" s="45">
        <v>1</v>
      </c>
      <c r="B7" s="45">
        <v>2</v>
      </c>
      <c r="C7" s="45">
        <v>3</v>
      </c>
      <c r="D7" s="45">
        <v>4</v>
      </c>
      <c r="E7" s="45">
        <v>5</v>
      </c>
      <c r="F7" s="45">
        <v>9</v>
      </c>
      <c r="G7" s="45">
        <v>10</v>
      </c>
      <c r="H7" s="45">
        <v>11</v>
      </c>
    </row>
    <row r="8" spans="1:8" ht="47.25" x14ac:dyDescent="0.25">
      <c r="A8" s="77" t="s">
        <v>375</v>
      </c>
      <c r="B8" s="45">
        <v>1</v>
      </c>
      <c r="C8" s="17">
        <v>1</v>
      </c>
      <c r="D8" s="17">
        <v>1</v>
      </c>
      <c r="E8" s="17">
        <v>1</v>
      </c>
      <c r="F8" s="78">
        <v>60000</v>
      </c>
      <c r="G8" s="78">
        <v>60000</v>
      </c>
      <c r="H8" s="78">
        <v>60000</v>
      </c>
    </row>
    <row r="9" spans="1:8" ht="63" x14ac:dyDescent="0.25">
      <c r="A9" s="77" t="s">
        <v>376</v>
      </c>
      <c r="B9" s="45">
        <f>B8+1</f>
        <v>2</v>
      </c>
      <c r="C9" s="17">
        <v>1</v>
      </c>
      <c r="D9" s="17">
        <v>1</v>
      </c>
      <c r="E9" s="17">
        <v>1</v>
      </c>
      <c r="F9" s="78">
        <v>24000</v>
      </c>
      <c r="G9" s="78">
        <v>24000</v>
      </c>
      <c r="H9" s="78">
        <v>24000</v>
      </c>
    </row>
    <row r="10" spans="1:8" ht="15.75" x14ac:dyDescent="0.25">
      <c r="A10" s="77" t="s">
        <v>351</v>
      </c>
      <c r="B10" s="45">
        <f t="shared" ref="B10:B19" si="0">B9+1</f>
        <v>3</v>
      </c>
      <c r="C10" s="17">
        <v>1</v>
      </c>
      <c r="D10" s="17">
        <v>1</v>
      </c>
      <c r="E10" s="17">
        <v>1</v>
      </c>
      <c r="F10" s="78">
        <v>2000</v>
      </c>
      <c r="G10" s="78">
        <v>2000</v>
      </c>
      <c r="H10" s="78">
        <v>2000</v>
      </c>
    </row>
    <row r="11" spans="1:8" ht="15.75" x14ac:dyDescent="0.25">
      <c r="A11" s="77" t="s">
        <v>377</v>
      </c>
      <c r="B11" s="45">
        <f t="shared" si="0"/>
        <v>4</v>
      </c>
      <c r="C11" s="17">
        <v>1</v>
      </c>
      <c r="D11" s="17">
        <v>1</v>
      </c>
      <c r="E11" s="17">
        <v>1</v>
      </c>
      <c r="F11" s="78">
        <v>8000</v>
      </c>
      <c r="G11" s="78">
        <v>8000</v>
      </c>
      <c r="H11" s="78">
        <v>8000</v>
      </c>
    </row>
    <row r="12" spans="1:8" ht="31.5" x14ac:dyDescent="0.25">
      <c r="A12" s="77" t="s">
        <v>378</v>
      </c>
      <c r="B12" s="45">
        <f t="shared" si="0"/>
        <v>5</v>
      </c>
      <c r="C12" s="17">
        <v>1</v>
      </c>
      <c r="D12" s="17">
        <v>1</v>
      </c>
      <c r="E12" s="17">
        <v>1</v>
      </c>
      <c r="F12" s="78">
        <v>6000</v>
      </c>
      <c r="G12" s="78">
        <v>6000</v>
      </c>
      <c r="H12" s="78">
        <v>6000</v>
      </c>
    </row>
    <row r="13" spans="1:8" ht="31.5" x14ac:dyDescent="0.25">
      <c r="A13" s="77" t="s">
        <v>379</v>
      </c>
      <c r="B13" s="45">
        <f t="shared" si="0"/>
        <v>6</v>
      </c>
      <c r="C13" s="17">
        <v>1</v>
      </c>
      <c r="D13" s="17">
        <v>1</v>
      </c>
      <c r="E13" s="17">
        <v>1</v>
      </c>
      <c r="F13" s="78">
        <v>30000</v>
      </c>
      <c r="G13" s="78">
        <v>30000</v>
      </c>
      <c r="H13" s="78">
        <v>30000</v>
      </c>
    </row>
    <row r="14" spans="1:8" ht="31.5" x14ac:dyDescent="0.25">
      <c r="A14" s="77" t="s">
        <v>380</v>
      </c>
      <c r="B14" s="45">
        <f t="shared" si="0"/>
        <v>7</v>
      </c>
      <c r="C14" s="17">
        <v>1</v>
      </c>
      <c r="D14" s="17">
        <v>1</v>
      </c>
      <c r="E14" s="17">
        <v>1</v>
      </c>
      <c r="F14" s="78">
        <v>50000</v>
      </c>
      <c r="G14" s="78">
        <v>50000</v>
      </c>
      <c r="H14" s="78">
        <v>50000</v>
      </c>
    </row>
    <row r="15" spans="1:8" ht="0.75" customHeight="1" x14ac:dyDescent="0.25">
      <c r="A15" s="77"/>
      <c r="B15" s="45"/>
      <c r="C15" s="17"/>
      <c r="D15" s="17"/>
      <c r="E15" s="17"/>
      <c r="F15" s="78"/>
      <c r="G15" s="78"/>
      <c r="H15" s="78"/>
    </row>
    <row r="16" spans="1:8" ht="15.75" x14ac:dyDescent="0.25">
      <c r="A16" s="79" t="s">
        <v>381</v>
      </c>
      <c r="B16" s="45">
        <f>B15+1</f>
        <v>1</v>
      </c>
      <c r="C16" s="17">
        <v>1</v>
      </c>
      <c r="D16" s="17">
        <v>1</v>
      </c>
      <c r="E16" s="17">
        <v>1</v>
      </c>
      <c r="F16" s="80">
        <v>8000</v>
      </c>
      <c r="G16" s="80">
        <v>8000</v>
      </c>
      <c r="H16" s="80">
        <v>8000</v>
      </c>
    </row>
    <row r="17" spans="1:8" ht="0.75" customHeight="1" x14ac:dyDescent="0.2">
      <c r="A17" s="17"/>
      <c r="B17" s="45">
        <v>10</v>
      </c>
      <c r="C17" s="17">
        <v>1</v>
      </c>
      <c r="D17" s="17"/>
      <c r="E17" s="17"/>
      <c r="F17" s="44"/>
      <c r="G17" s="44"/>
      <c r="H17" s="44"/>
    </row>
    <row r="18" spans="1:8" ht="15.75" hidden="1" x14ac:dyDescent="0.2">
      <c r="A18" s="17"/>
      <c r="B18" s="45">
        <f t="shared" si="0"/>
        <v>11</v>
      </c>
      <c r="C18" s="17">
        <v>1</v>
      </c>
      <c r="D18" s="17"/>
      <c r="E18" s="17"/>
      <c r="F18" s="44"/>
      <c r="G18" s="44"/>
      <c r="H18" s="44"/>
    </row>
    <row r="19" spans="1:8" ht="15.75" hidden="1" x14ac:dyDescent="0.2">
      <c r="A19" s="17"/>
      <c r="B19" s="45">
        <f t="shared" si="0"/>
        <v>12</v>
      </c>
      <c r="C19" s="17">
        <v>1</v>
      </c>
      <c r="D19" s="17"/>
      <c r="E19" s="17"/>
      <c r="F19" s="44"/>
      <c r="G19" s="44"/>
      <c r="H19" s="44"/>
    </row>
    <row r="20" spans="1:8" ht="24" customHeight="1" x14ac:dyDescent="0.2">
      <c r="A20" s="17" t="s">
        <v>133</v>
      </c>
      <c r="B20" s="45">
        <v>9000</v>
      </c>
      <c r="C20" s="45" t="s">
        <v>11</v>
      </c>
      <c r="D20" s="45" t="s">
        <v>11</v>
      </c>
      <c r="E20" s="45" t="s">
        <v>11</v>
      </c>
      <c r="F20" s="166">
        <f>SUM(F8:F19)</f>
        <v>188000</v>
      </c>
      <c r="G20" s="166">
        <f>SUM(G8:G19)</f>
        <v>188000</v>
      </c>
      <c r="H20" s="166">
        <f>SUM(H8:H19)</f>
        <v>188000</v>
      </c>
    </row>
    <row r="21" spans="1:8" ht="17.25" customHeight="1" x14ac:dyDescent="0.2">
      <c r="A21" s="90"/>
      <c r="B21" s="67"/>
      <c r="C21" s="67"/>
      <c r="D21" s="67"/>
      <c r="E21" s="67"/>
      <c r="F21" s="136"/>
      <c r="G21" s="136"/>
      <c r="H21" s="136"/>
    </row>
    <row r="22" spans="1:8" ht="15.75" x14ac:dyDescent="0.25">
      <c r="A22" s="66"/>
      <c r="B22" s="66"/>
      <c r="C22" s="66"/>
      <c r="D22" s="66"/>
      <c r="E22" s="66"/>
      <c r="F22" s="66"/>
      <c r="G22" s="66"/>
      <c r="H22" s="66"/>
    </row>
    <row r="23" spans="1:8" ht="15.75" x14ac:dyDescent="0.25">
      <c r="A23" s="81" t="s">
        <v>300</v>
      </c>
      <c r="B23" s="66"/>
      <c r="C23" s="66"/>
      <c r="D23" s="66"/>
      <c r="E23" s="66"/>
      <c r="F23" s="66"/>
      <c r="G23" s="66"/>
      <c r="H23" s="66"/>
    </row>
    <row r="24" spans="1:8" ht="15.75" x14ac:dyDescent="0.2">
      <c r="A24" s="373" t="s">
        <v>215</v>
      </c>
      <c r="B24" s="373" t="s">
        <v>1</v>
      </c>
      <c r="C24" s="373" t="s">
        <v>334</v>
      </c>
      <c r="D24" s="373"/>
      <c r="E24" s="373"/>
      <c r="F24" s="373" t="s">
        <v>335</v>
      </c>
      <c r="G24" s="373"/>
      <c r="H24" s="373"/>
    </row>
    <row r="25" spans="1:8" ht="15.75" x14ac:dyDescent="0.2">
      <c r="A25" s="373"/>
      <c r="B25" s="373"/>
      <c r="C25" s="295" t="s">
        <v>418</v>
      </c>
      <c r="D25" s="295" t="s">
        <v>548</v>
      </c>
      <c r="E25" s="295" t="s">
        <v>583</v>
      </c>
      <c r="F25" s="295" t="s">
        <v>418</v>
      </c>
      <c r="G25" s="295" t="s">
        <v>548</v>
      </c>
      <c r="H25" s="295" t="s">
        <v>583</v>
      </c>
    </row>
    <row r="26" spans="1:8" ht="47.25" x14ac:dyDescent="0.2">
      <c r="A26" s="373"/>
      <c r="B26" s="373"/>
      <c r="C26" s="45" t="s">
        <v>73</v>
      </c>
      <c r="D26" s="45" t="s">
        <v>74</v>
      </c>
      <c r="E26" s="45" t="s">
        <v>75</v>
      </c>
      <c r="F26" s="45" t="s">
        <v>73</v>
      </c>
      <c r="G26" s="45" t="s">
        <v>74</v>
      </c>
      <c r="H26" s="45" t="s">
        <v>75</v>
      </c>
    </row>
    <row r="27" spans="1:8" ht="15.75" x14ac:dyDescent="0.2">
      <c r="A27" s="45">
        <v>1</v>
      </c>
      <c r="B27" s="45">
        <v>2</v>
      </c>
      <c r="C27" s="45">
        <v>3</v>
      </c>
      <c r="D27" s="45">
        <v>4</v>
      </c>
      <c r="E27" s="45">
        <v>5</v>
      </c>
      <c r="F27" s="45">
        <v>9</v>
      </c>
      <c r="G27" s="45">
        <v>10</v>
      </c>
      <c r="H27" s="45">
        <v>11</v>
      </c>
    </row>
    <row r="28" spans="1:8" ht="18" customHeight="1" x14ac:dyDescent="0.25">
      <c r="A28" s="77" t="s">
        <v>382</v>
      </c>
      <c r="B28" s="45">
        <v>1</v>
      </c>
      <c r="C28" s="45">
        <v>2</v>
      </c>
      <c r="D28" s="45">
        <v>2</v>
      </c>
      <c r="E28" s="45">
        <v>2</v>
      </c>
      <c r="F28" s="78">
        <v>10000</v>
      </c>
      <c r="G28" s="78">
        <v>10000</v>
      </c>
      <c r="H28" s="78">
        <v>10000</v>
      </c>
    </row>
    <row r="29" spans="1:8" ht="47.25" x14ac:dyDescent="0.25">
      <c r="A29" s="77" t="s">
        <v>383</v>
      </c>
      <c r="B29" s="45">
        <v>2</v>
      </c>
      <c r="C29" s="45">
        <v>1</v>
      </c>
      <c r="D29" s="45">
        <v>1</v>
      </c>
      <c r="E29" s="45">
        <v>1</v>
      </c>
      <c r="F29" s="78">
        <v>30000</v>
      </c>
      <c r="G29" s="78">
        <v>30000</v>
      </c>
      <c r="H29" s="78">
        <v>30000</v>
      </c>
    </row>
    <row r="30" spans="1:8" ht="18" customHeight="1" x14ac:dyDescent="0.25">
      <c r="A30" s="77" t="s">
        <v>351</v>
      </c>
      <c r="B30" s="45">
        <v>3</v>
      </c>
      <c r="C30" s="45">
        <v>1</v>
      </c>
      <c r="D30" s="45">
        <v>1</v>
      </c>
      <c r="E30" s="45">
        <v>1</v>
      </c>
      <c r="F30" s="78">
        <v>2500</v>
      </c>
      <c r="G30" s="78">
        <v>2500</v>
      </c>
      <c r="H30" s="78">
        <v>2500</v>
      </c>
    </row>
    <row r="31" spans="1:8" ht="31.5" x14ac:dyDescent="0.25">
      <c r="A31" s="77" t="s">
        <v>349</v>
      </c>
      <c r="B31" s="45">
        <v>4</v>
      </c>
      <c r="C31" s="45">
        <v>1</v>
      </c>
      <c r="D31" s="45">
        <v>1</v>
      </c>
      <c r="E31" s="45">
        <v>1</v>
      </c>
      <c r="F31" s="78">
        <v>30000</v>
      </c>
      <c r="G31" s="78">
        <v>30000</v>
      </c>
      <c r="H31" s="78">
        <v>30000</v>
      </c>
    </row>
    <row r="32" spans="1:8" ht="19.5" customHeight="1" x14ac:dyDescent="0.2">
      <c r="A32" s="17" t="s">
        <v>133</v>
      </c>
      <c r="B32" s="45">
        <v>9000</v>
      </c>
      <c r="C32" s="45" t="s">
        <v>11</v>
      </c>
      <c r="D32" s="45" t="s">
        <v>11</v>
      </c>
      <c r="E32" s="45" t="s">
        <v>11</v>
      </c>
      <c r="F32" s="166">
        <f>SUM(F28:F31)</f>
        <v>72500</v>
      </c>
      <c r="G32" s="166">
        <f>SUM(G28:G31)</f>
        <v>72500</v>
      </c>
      <c r="H32" s="166">
        <f>SUM(H28:H31)</f>
        <v>72500</v>
      </c>
    </row>
    <row r="33" spans="1:8" ht="15.75" x14ac:dyDescent="0.25">
      <c r="A33" s="66"/>
      <c r="B33" s="66"/>
      <c r="C33" s="66"/>
      <c r="D33" s="66"/>
      <c r="E33" s="66"/>
      <c r="F33" s="66"/>
      <c r="G33" s="66"/>
      <c r="H33" s="66"/>
    </row>
    <row r="34" spans="1:8" ht="15.75" x14ac:dyDescent="0.25">
      <c r="A34" s="76" t="s">
        <v>471</v>
      </c>
      <c r="B34" s="66"/>
      <c r="C34" s="66"/>
      <c r="D34" s="66"/>
      <c r="E34" s="66"/>
      <c r="F34" s="66"/>
      <c r="G34" s="66"/>
      <c r="H34" s="66"/>
    </row>
    <row r="35" spans="1:8" ht="15.75" x14ac:dyDescent="0.2">
      <c r="A35" s="373" t="s">
        <v>215</v>
      </c>
      <c r="B35" s="373" t="s">
        <v>1</v>
      </c>
      <c r="C35" s="373" t="s">
        <v>334</v>
      </c>
      <c r="D35" s="373"/>
      <c r="E35" s="373"/>
      <c r="F35" s="373" t="s">
        <v>335</v>
      </c>
      <c r="G35" s="373"/>
      <c r="H35" s="373"/>
    </row>
    <row r="36" spans="1:8" ht="15.75" x14ac:dyDescent="0.2">
      <c r="A36" s="373"/>
      <c r="B36" s="373"/>
      <c r="C36" s="45" t="s">
        <v>418</v>
      </c>
      <c r="D36" s="45" t="s">
        <v>548</v>
      </c>
      <c r="E36" s="45" t="s">
        <v>583</v>
      </c>
      <c r="F36" s="45" t="s">
        <v>418</v>
      </c>
      <c r="G36" s="45" t="s">
        <v>548</v>
      </c>
      <c r="H36" s="45" t="s">
        <v>583</v>
      </c>
    </row>
    <row r="37" spans="1:8" ht="47.25" x14ac:dyDescent="0.2">
      <c r="A37" s="373"/>
      <c r="B37" s="373"/>
      <c r="C37" s="45" t="s">
        <v>73</v>
      </c>
      <c r="D37" s="45" t="s">
        <v>74</v>
      </c>
      <c r="E37" s="45" t="s">
        <v>75</v>
      </c>
      <c r="F37" s="45" t="s">
        <v>73</v>
      </c>
      <c r="G37" s="45" t="s">
        <v>74</v>
      </c>
      <c r="H37" s="45" t="s">
        <v>75</v>
      </c>
    </row>
    <row r="38" spans="1:8" ht="15.75" x14ac:dyDescent="0.2">
      <c r="A38" s="45">
        <v>1</v>
      </c>
      <c r="B38" s="45">
        <v>2</v>
      </c>
      <c r="C38" s="45">
        <v>3</v>
      </c>
      <c r="D38" s="45">
        <v>4</v>
      </c>
      <c r="E38" s="45">
        <v>5</v>
      </c>
      <c r="F38" s="45">
        <v>9</v>
      </c>
      <c r="G38" s="45">
        <v>10</v>
      </c>
      <c r="H38" s="45">
        <v>11</v>
      </c>
    </row>
    <row r="39" spans="1:8" ht="18" customHeight="1" x14ac:dyDescent="0.2">
      <c r="A39" s="82" t="s">
        <v>351</v>
      </c>
      <c r="B39" s="45">
        <v>1</v>
      </c>
      <c r="C39" s="17">
        <v>1</v>
      </c>
      <c r="D39" s="17">
        <v>1</v>
      </c>
      <c r="E39" s="17">
        <v>1</v>
      </c>
      <c r="F39" s="83">
        <v>10000</v>
      </c>
      <c r="G39" s="83">
        <v>10000</v>
      </c>
      <c r="H39" s="83">
        <v>10000</v>
      </c>
    </row>
    <row r="40" spans="1:8" ht="20.25" customHeight="1" x14ac:dyDescent="0.2">
      <c r="A40" s="84" t="s">
        <v>377</v>
      </c>
      <c r="B40" s="45">
        <f>B39+1</f>
        <v>2</v>
      </c>
      <c r="C40" s="17">
        <v>1</v>
      </c>
      <c r="D40" s="17">
        <v>1</v>
      </c>
      <c r="E40" s="17">
        <v>1</v>
      </c>
      <c r="F40" s="85">
        <v>120000</v>
      </c>
      <c r="G40" s="85">
        <v>120000</v>
      </c>
      <c r="H40" s="85">
        <v>120000</v>
      </c>
    </row>
    <row r="41" spans="1:8" ht="47.25" x14ac:dyDescent="0.2">
      <c r="A41" s="86" t="s">
        <v>384</v>
      </c>
      <c r="B41" s="45">
        <f>B40+1</f>
        <v>3</v>
      </c>
      <c r="C41" s="17">
        <v>2</v>
      </c>
      <c r="D41" s="17">
        <v>2</v>
      </c>
      <c r="E41" s="17">
        <v>2</v>
      </c>
      <c r="F41" s="83">
        <v>80000</v>
      </c>
      <c r="G41" s="83">
        <v>80000</v>
      </c>
      <c r="H41" s="83">
        <v>80000</v>
      </c>
    </row>
    <row r="42" spans="1:8" ht="23.25" customHeight="1" x14ac:dyDescent="0.2">
      <c r="A42" s="17" t="s">
        <v>133</v>
      </c>
      <c r="B42" s="45">
        <v>9000</v>
      </c>
      <c r="C42" s="45" t="s">
        <v>11</v>
      </c>
      <c r="D42" s="45" t="s">
        <v>11</v>
      </c>
      <c r="E42" s="45" t="s">
        <v>11</v>
      </c>
      <c r="F42" s="166">
        <f>SUM(F39:F41)</f>
        <v>210000</v>
      </c>
      <c r="G42" s="166">
        <f>SUM(G39:G41)</f>
        <v>210000</v>
      </c>
      <c r="H42" s="166">
        <f>SUM(H39:H41)</f>
        <v>210000</v>
      </c>
    </row>
    <row r="43" spans="1:8" ht="18.75" customHeight="1" x14ac:dyDescent="0.2">
      <c r="A43" s="90"/>
      <c r="B43" s="67"/>
      <c r="C43" s="67"/>
      <c r="D43" s="67"/>
      <c r="E43" s="67"/>
      <c r="F43" s="136"/>
      <c r="G43" s="136"/>
      <c r="H43" s="136"/>
    </row>
    <row r="44" spans="1:8" ht="19.5" hidden="1" customHeight="1" x14ac:dyDescent="0.2">
      <c r="A44" s="90"/>
      <c r="B44" s="67"/>
      <c r="C44" s="67"/>
      <c r="D44" s="67"/>
      <c r="E44" s="67"/>
      <c r="F44" s="136"/>
      <c r="G44" s="136"/>
      <c r="H44" s="136"/>
    </row>
    <row r="45" spans="1:8" ht="19.5" hidden="1" customHeight="1" x14ac:dyDescent="0.2">
      <c r="A45" s="90"/>
      <c r="B45" s="67"/>
      <c r="C45" s="67"/>
      <c r="D45" s="67"/>
      <c r="E45" s="67"/>
      <c r="F45" s="136"/>
      <c r="G45" s="136"/>
      <c r="H45" s="136"/>
    </row>
    <row r="46" spans="1:8" ht="15.75" hidden="1" x14ac:dyDescent="0.25">
      <c r="A46" s="66"/>
      <c r="B46" s="66"/>
      <c r="C46" s="66"/>
      <c r="D46" s="66"/>
      <c r="E46" s="66"/>
      <c r="F46" s="66"/>
      <c r="G46" s="66"/>
      <c r="H46" s="66"/>
    </row>
    <row r="47" spans="1:8" ht="15.75" hidden="1" x14ac:dyDescent="0.25">
      <c r="A47" s="76" t="s">
        <v>473</v>
      </c>
      <c r="B47" s="66"/>
      <c r="C47" s="66"/>
      <c r="D47" s="66"/>
      <c r="E47" s="66"/>
      <c r="F47" s="66"/>
      <c r="G47" s="66"/>
      <c r="H47" s="66"/>
    </row>
    <row r="48" spans="1:8" ht="15.75" hidden="1" x14ac:dyDescent="0.2">
      <c r="A48" s="373" t="s">
        <v>215</v>
      </c>
      <c r="B48" s="373" t="s">
        <v>1</v>
      </c>
      <c r="C48" s="373" t="s">
        <v>334</v>
      </c>
      <c r="D48" s="373"/>
      <c r="E48" s="373"/>
      <c r="F48" s="373" t="s">
        <v>335</v>
      </c>
      <c r="G48" s="373"/>
      <c r="H48" s="373"/>
    </row>
    <row r="49" spans="1:8" ht="15.75" hidden="1" x14ac:dyDescent="0.2">
      <c r="A49" s="373"/>
      <c r="B49" s="373"/>
      <c r="C49" s="45" t="s">
        <v>416</v>
      </c>
      <c r="D49" s="45" t="s">
        <v>417</v>
      </c>
      <c r="E49" s="45" t="s">
        <v>418</v>
      </c>
      <c r="F49" s="45" t="s">
        <v>416</v>
      </c>
      <c r="G49" s="45" t="s">
        <v>417</v>
      </c>
      <c r="H49" s="45" t="s">
        <v>418</v>
      </c>
    </row>
    <row r="50" spans="1:8" ht="47.25" hidden="1" x14ac:dyDescent="0.2">
      <c r="A50" s="373"/>
      <c r="B50" s="373"/>
      <c r="C50" s="45" t="s">
        <v>73</v>
      </c>
      <c r="D50" s="45" t="s">
        <v>74</v>
      </c>
      <c r="E50" s="45" t="s">
        <v>75</v>
      </c>
      <c r="F50" s="45" t="s">
        <v>73</v>
      </c>
      <c r="G50" s="45" t="s">
        <v>74</v>
      </c>
      <c r="H50" s="45" t="s">
        <v>75</v>
      </c>
    </row>
    <row r="51" spans="1:8" ht="15.75" hidden="1" x14ac:dyDescent="0.2">
      <c r="A51" s="45">
        <v>1</v>
      </c>
      <c r="B51" s="45">
        <v>2</v>
      </c>
      <c r="C51" s="45">
        <v>3</v>
      </c>
      <c r="D51" s="45">
        <v>4</v>
      </c>
      <c r="E51" s="45">
        <v>5</v>
      </c>
      <c r="F51" s="45">
        <v>9</v>
      </c>
      <c r="G51" s="45">
        <v>10</v>
      </c>
      <c r="H51" s="45">
        <v>11</v>
      </c>
    </row>
    <row r="52" spans="1:8" ht="18.75" hidden="1" customHeight="1" x14ac:dyDescent="0.25">
      <c r="A52" s="77" t="s">
        <v>351</v>
      </c>
      <c r="B52" s="45">
        <v>1</v>
      </c>
      <c r="C52" s="17"/>
      <c r="D52" s="17"/>
      <c r="E52" s="17"/>
      <c r="F52" s="83"/>
      <c r="G52" s="83"/>
      <c r="H52" s="83"/>
    </row>
    <row r="53" spans="1:8" ht="94.5" hidden="1" x14ac:dyDescent="0.25">
      <c r="A53" s="87" t="s">
        <v>385</v>
      </c>
      <c r="B53" s="45">
        <f>B52+1</f>
        <v>2</v>
      </c>
      <c r="C53" s="17"/>
      <c r="D53" s="17"/>
      <c r="E53" s="17"/>
      <c r="F53" s="88"/>
      <c r="G53" s="88"/>
      <c r="H53" s="88"/>
    </row>
    <row r="54" spans="1:8" ht="21" hidden="1" customHeight="1" x14ac:dyDescent="0.25">
      <c r="A54" s="89" t="s">
        <v>377</v>
      </c>
      <c r="B54" s="45">
        <f>B53+1</f>
        <v>3</v>
      </c>
      <c r="C54" s="17"/>
      <c r="D54" s="17"/>
      <c r="E54" s="17"/>
      <c r="F54" s="85"/>
      <c r="G54" s="85"/>
      <c r="H54" s="85"/>
    </row>
    <row r="55" spans="1:8" ht="21.75" hidden="1" customHeight="1" x14ac:dyDescent="0.2">
      <c r="A55" s="17" t="s">
        <v>133</v>
      </c>
      <c r="B55" s="45">
        <v>9000</v>
      </c>
      <c r="C55" s="45" t="s">
        <v>11</v>
      </c>
      <c r="D55" s="45" t="s">
        <v>11</v>
      </c>
      <c r="E55" s="45" t="s">
        <v>11</v>
      </c>
      <c r="F55" s="43">
        <f>SUM(F52:F54)</f>
        <v>0</v>
      </c>
      <c r="G55" s="43">
        <f>SUM(G52:G54)</f>
        <v>0</v>
      </c>
      <c r="H55" s="43">
        <f>SUM(H52:H54)</f>
        <v>0</v>
      </c>
    </row>
    <row r="56" spans="1:8" ht="17.25" hidden="1" customHeight="1" x14ac:dyDescent="0.2">
      <c r="A56" s="90"/>
      <c r="B56" s="67"/>
      <c r="C56" s="67"/>
      <c r="D56" s="67"/>
      <c r="E56" s="67"/>
      <c r="F56" s="71"/>
      <c r="G56" s="71"/>
      <c r="H56" s="71"/>
    </row>
    <row r="57" spans="1:8" ht="15.75" x14ac:dyDescent="0.25">
      <c r="A57" s="66"/>
      <c r="B57" s="66"/>
      <c r="C57" s="66"/>
      <c r="D57" s="66"/>
      <c r="E57" s="66"/>
      <c r="F57" s="66"/>
      <c r="G57" s="66"/>
      <c r="H57" s="66"/>
    </row>
    <row r="58" spans="1:8" ht="15.75" x14ac:dyDescent="0.25">
      <c r="A58" s="76" t="s">
        <v>474</v>
      </c>
      <c r="B58" s="66"/>
      <c r="C58" s="66"/>
      <c r="D58" s="66"/>
      <c r="E58" s="66"/>
      <c r="F58" s="66"/>
      <c r="G58" s="66"/>
      <c r="H58" s="66"/>
    </row>
    <row r="59" spans="1:8" ht="15.75" x14ac:dyDescent="0.2">
      <c r="A59" s="373" t="s">
        <v>215</v>
      </c>
      <c r="B59" s="373" t="s">
        <v>1</v>
      </c>
      <c r="C59" s="373" t="s">
        <v>334</v>
      </c>
      <c r="D59" s="373"/>
      <c r="E59" s="373"/>
      <c r="F59" s="373" t="s">
        <v>335</v>
      </c>
      <c r="G59" s="373"/>
      <c r="H59" s="373"/>
    </row>
    <row r="60" spans="1:8" ht="15.75" x14ac:dyDescent="0.2">
      <c r="A60" s="373"/>
      <c r="B60" s="373"/>
      <c r="C60" s="295" t="s">
        <v>418</v>
      </c>
      <c r="D60" s="295" t="s">
        <v>548</v>
      </c>
      <c r="E60" s="295" t="s">
        <v>583</v>
      </c>
      <c r="F60" s="295" t="s">
        <v>418</v>
      </c>
      <c r="G60" s="295" t="s">
        <v>548</v>
      </c>
      <c r="H60" s="295" t="s">
        <v>583</v>
      </c>
    </row>
    <row r="61" spans="1:8" ht="47.25" x14ac:dyDescent="0.2">
      <c r="A61" s="373"/>
      <c r="B61" s="373"/>
      <c r="C61" s="45" t="s">
        <v>73</v>
      </c>
      <c r="D61" s="45" t="s">
        <v>74</v>
      </c>
      <c r="E61" s="45" t="s">
        <v>75</v>
      </c>
      <c r="F61" s="45" t="s">
        <v>73</v>
      </c>
      <c r="G61" s="45" t="s">
        <v>74</v>
      </c>
      <c r="H61" s="45" t="s">
        <v>75</v>
      </c>
    </row>
    <row r="62" spans="1:8" ht="15.75" x14ac:dyDescent="0.2">
      <c r="A62" s="45">
        <v>1</v>
      </c>
      <c r="B62" s="45">
        <v>2</v>
      </c>
      <c r="C62" s="45">
        <v>3</v>
      </c>
      <c r="D62" s="45">
        <v>4</v>
      </c>
      <c r="E62" s="45">
        <v>5</v>
      </c>
      <c r="F62" s="45">
        <v>9</v>
      </c>
      <c r="G62" s="45">
        <v>10</v>
      </c>
      <c r="H62" s="45">
        <v>11</v>
      </c>
    </row>
    <row r="63" spans="1:8" ht="19.5" customHeight="1" x14ac:dyDescent="0.2">
      <c r="A63" s="91" t="s">
        <v>351</v>
      </c>
      <c r="B63" s="45">
        <v>1</v>
      </c>
      <c r="C63" s="17">
        <v>1</v>
      </c>
      <c r="D63" s="17">
        <v>1</v>
      </c>
      <c r="E63" s="17">
        <v>1</v>
      </c>
      <c r="F63" s="92">
        <v>2000</v>
      </c>
      <c r="G63" s="92">
        <v>2000</v>
      </c>
      <c r="H63" s="92">
        <v>2000</v>
      </c>
    </row>
    <row r="64" spans="1:8" ht="19.5" customHeight="1" x14ac:dyDescent="0.2">
      <c r="A64" s="93" t="s">
        <v>377</v>
      </c>
      <c r="B64" s="45">
        <v>2</v>
      </c>
      <c r="C64" s="17">
        <v>2</v>
      </c>
      <c r="D64" s="17">
        <v>2</v>
      </c>
      <c r="E64" s="17">
        <v>2</v>
      </c>
      <c r="F64" s="94">
        <v>10000</v>
      </c>
      <c r="G64" s="94">
        <v>10000</v>
      </c>
      <c r="H64" s="94">
        <v>10000</v>
      </c>
    </row>
    <row r="65" spans="1:8" ht="47.25" x14ac:dyDescent="0.2">
      <c r="A65" s="95" t="s">
        <v>550</v>
      </c>
      <c r="B65" s="45">
        <v>3</v>
      </c>
      <c r="C65" s="17">
        <v>1</v>
      </c>
      <c r="D65" s="17">
        <v>1</v>
      </c>
      <c r="E65" s="17">
        <v>1</v>
      </c>
      <c r="F65" s="92">
        <v>10000</v>
      </c>
      <c r="G65" s="92">
        <v>10000</v>
      </c>
      <c r="H65" s="92">
        <v>10000</v>
      </c>
    </row>
    <row r="66" spans="1:8" ht="19.5" customHeight="1" x14ac:dyDescent="0.2">
      <c r="A66" s="17" t="s">
        <v>133</v>
      </c>
      <c r="B66" s="45">
        <v>9000</v>
      </c>
      <c r="C66" s="45" t="s">
        <v>11</v>
      </c>
      <c r="D66" s="45" t="s">
        <v>11</v>
      </c>
      <c r="E66" s="45" t="s">
        <v>11</v>
      </c>
      <c r="F66" s="166">
        <f>SUM(F63:F65)</f>
        <v>22000</v>
      </c>
      <c r="G66" s="166">
        <f>SUM(G63:G65)</f>
        <v>22000</v>
      </c>
      <c r="H66" s="166">
        <f>SUM(H63:H65)</f>
        <v>22000</v>
      </c>
    </row>
    <row r="67" spans="1:8" ht="15.75" x14ac:dyDescent="0.25">
      <c r="A67" s="66"/>
      <c r="B67" s="66"/>
      <c r="C67" s="66"/>
      <c r="D67" s="66"/>
      <c r="E67" s="66"/>
      <c r="F67" s="66"/>
      <c r="G67" s="66"/>
      <c r="H67" s="66"/>
    </row>
    <row r="68" spans="1:8" ht="15.75" x14ac:dyDescent="0.25">
      <c r="A68" s="96" t="s">
        <v>482</v>
      </c>
      <c r="B68" s="76"/>
      <c r="C68" s="104"/>
      <c r="D68" s="66"/>
      <c r="E68" s="66"/>
      <c r="F68" s="66"/>
      <c r="G68" s="66"/>
      <c r="H68" s="66"/>
    </row>
    <row r="69" spans="1:8" ht="15.75" customHeight="1" x14ac:dyDescent="0.2">
      <c r="A69" s="377" t="s">
        <v>215</v>
      </c>
      <c r="B69" s="377" t="s">
        <v>1</v>
      </c>
      <c r="C69" s="443" t="s">
        <v>334</v>
      </c>
      <c r="D69" s="444"/>
      <c r="E69" s="445"/>
      <c r="F69" s="443" t="s">
        <v>335</v>
      </c>
      <c r="G69" s="444"/>
      <c r="H69" s="445"/>
    </row>
    <row r="70" spans="1:8" ht="15.75" x14ac:dyDescent="0.2">
      <c r="A70" s="382"/>
      <c r="B70" s="382"/>
      <c r="C70" s="295" t="s">
        <v>418</v>
      </c>
      <c r="D70" s="295" t="s">
        <v>548</v>
      </c>
      <c r="E70" s="295" t="s">
        <v>583</v>
      </c>
      <c r="F70" s="295" t="s">
        <v>418</v>
      </c>
      <c r="G70" s="295" t="s">
        <v>548</v>
      </c>
      <c r="H70" s="295" t="s">
        <v>583</v>
      </c>
    </row>
    <row r="71" spans="1:8" ht="47.25" x14ac:dyDescent="0.2">
      <c r="A71" s="378"/>
      <c r="B71" s="378"/>
      <c r="C71" s="45" t="s">
        <v>73</v>
      </c>
      <c r="D71" s="45" t="s">
        <v>74</v>
      </c>
      <c r="E71" s="45" t="s">
        <v>75</v>
      </c>
      <c r="F71" s="45" t="s">
        <v>73</v>
      </c>
      <c r="G71" s="45" t="s">
        <v>74</v>
      </c>
      <c r="H71" s="45" t="s">
        <v>75</v>
      </c>
    </row>
    <row r="72" spans="1:8" ht="15.75" x14ac:dyDescent="0.2">
      <c r="A72" s="45">
        <v>1</v>
      </c>
      <c r="B72" s="45">
        <v>2</v>
      </c>
      <c r="C72" s="45">
        <v>3</v>
      </c>
      <c r="D72" s="45">
        <v>4</v>
      </c>
      <c r="E72" s="45">
        <v>5</v>
      </c>
      <c r="F72" s="45">
        <v>9</v>
      </c>
      <c r="G72" s="45">
        <v>10</v>
      </c>
      <c r="H72" s="45">
        <v>11</v>
      </c>
    </row>
    <row r="73" spans="1:8" ht="19.5" customHeight="1" x14ac:dyDescent="0.2">
      <c r="A73" s="17" t="s">
        <v>425</v>
      </c>
      <c r="B73" s="45">
        <v>1</v>
      </c>
      <c r="C73" s="17">
        <v>1</v>
      </c>
      <c r="D73" s="17">
        <v>1</v>
      </c>
      <c r="E73" s="17">
        <v>1</v>
      </c>
      <c r="F73" s="44">
        <f>357367-5179.72-1564.28</f>
        <v>350623</v>
      </c>
      <c r="G73" s="44">
        <f>357367-5179.72-1564.28</f>
        <v>350623</v>
      </c>
      <c r="H73" s="44">
        <f>357367-5179.72-1564.28</f>
        <v>350623</v>
      </c>
    </row>
    <row r="74" spans="1:8" ht="20.25" customHeight="1" x14ac:dyDescent="0.2">
      <c r="A74" s="17" t="s">
        <v>133</v>
      </c>
      <c r="B74" s="45">
        <v>9000</v>
      </c>
      <c r="C74" s="45" t="s">
        <v>11</v>
      </c>
      <c r="D74" s="45" t="s">
        <v>11</v>
      </c>
      <c r="E74" s="45" t="s">
        <v>11</v>
      </c>
      <c r="F74" s="166">
        <f>SUM(F73:F73)</f>
        <v>350623</v>
      </c>
      <c r="G74" s="166">
        <f>SUM(G73:G73)</f>
        <v>350623</v>
      </c>
      <c r="H74" s="166">
        <f>SUM(H73:H73)</f>
        <v>350623</v>
      </c>
    </row>
    <row r="75" spans="1:8" ht="15.75" x14ac:dyDescent="0.2">
      <c r="A75" s="90"/>
      <c r="B75" s="67"/>
      <c r="C75" s="67"/>
      <c r="D75" s="67"/>
      <c r="E75" s="67"/>
      <c r="F75" s="71"/>
      <c r="G75" s="71"/>
      <c r="H75" s="71"/>
    </row>
    <row r="76" spans="1:8" ht="15.75" x14ac:dyDescent="0.2">
      <c r="A76" s="90"/>
      <c r="B76" s="67"/>
      <c r="C76" s="67"/>
      <c r="D76" s="67"/>
      <c r="E76" s="67"/>
      <c r="F76" s="71"/>
      <c r="G76" s="71"/>
      <c r="H76" s="71"/>
    </row>
    <row r="77" spans="1:8" ht="15.75" x14ac:dyDescent="0.2">
      <c r="A77" s="90"/>
      <c r="B77" s="67"/>
      <c r="C77" s="67"/>
      <c r="D77" s="67"/>
      <c r="E77" s="67"/>
      <c r="F77" s="71"/>
      <c r="G77" s="71"/>
      <c r="H77" s="71"/>
    </row>
    <row r="78" spans="1:8" ht="15.75" x14ac:dyDescent="0.2">
      <c r="A78" s="90"/>
      <c r="B78" s="67"/>
      <c r="C78" s="67"/>
      <c r="D78" s="67"/>
      <c r="E78" s="67"/>
      <c r="F78" s="71"/>
      <c r="G78" s="71"/>
      <c r="H78" s="71"/>
    </row>
    <row r="79" spans="1:8" ht="15.75" x14ac:dyDescent="0.2">
      <c r="A79" s="90"/>
      <c r="B79" s="67"/>
      <c r="C79" s="67"/>
      <c r="D79" s="67"/>
      <c r="E79" s="67"/>
      <c r="F79" s="71"/>
      <c r="G79" s="71"/>
      <c r="H79" s="71"/>
    </row>
    <row r="80" spans="1:8" ht="15.75" x14ac:dyDescent="0.25">
      <c r="A80" s="66"/>
      <c r="B80" s="66"/>
      <c r="C80" s="66"/>
      <c r="D80" s="66"/>
      <c r="E80" s="66"/>
      <c r="F80" s="66"/>
      <c r="G80" s="66"/>
      <c r="H80" s="66"/>
    </row>
    <row r="81" spans="1:8" ht="15.75" x14ac:dyDescent="0.25">
      <c r="A81" s="96" t="s">
        <v>493</v>
      </c>
      <c r="B81" s="76"/>
      <c r="C81" s="104"/>
      <c r="D81" s="66"/>
      <c r="E81" s="66"/>
      <c r="F81" s="66"/>
      <c r="G81" s="66"/>
      <c r="H81" s="66"/>
    </row>
    <row r="82" spans="1:8" ht="15.75" x14ac:dyDescent="0.2">
      <c r="A82" s="373" t="s">
        <v>215</v>
      </c>
      <c r="B82" s="373" t="s">
        <v>1</v>
      </c>
      <c r="C82" s="373" t="s">
        <v>334</v>
      </c>
      <c r="D82" s="373"/>
      <c r="E82" s="373"/>
      <c r="F82" s="373" t="s">
        <v>335</v>
      </c>
      <c r="G82" s="373"/>
      <c r="H82" s="373"/>
    </row>
    <row r="83" spans="1:8" ht="15.75" x14ac:dyDescent="0.2">
      <c r="A83" s="373"/>
      <c r="B83" s="373"/>
      <c r="C83" s="295" t="s">
        <v>418</v>
      </c>
      <c r="D83" s="295" t="s">
        <v>548</v>
      </c>
      <c r="E83" s="295" t="s">
        <v>583</v>
      </c>
      <c r="F83" s="295" t="s">
        <v>418</v>
      </c>
      <c r="G83" s="295" t="s">
        <v>548</v>
      </c>
      <c r="H83" s="295" t="s">
        <v>583</v>
      </c>
    </row>
    <row r="84" spans="1:8" ht="47.25" x14ac:dyDescent="0.2">
      <c r="A84" s="373"/>
      <c r="B84" s="373"/>
      <c r="C84" s="45" t="s">
        <v>73</v>
      </c>
      <c r="D84" s="45" t="s">
        <v>74</v>
      </c>
      <c r="E84" s="45" t="s">
        <v>75</v>
      </c>
      <c r="F84" s="45" t="s">
        <v>73</v>
      </c>
      <c r="G84" s="45" t="s">
        <v>74</v>
      </c>
      <c r="H84" s="45" t="s">
        <v>75</v>
      </c>
    </row>
    <row r="85" spans="1:8" ht="15.75" x14ac:dyDescent="0.2">
      <c r="A85" s="45">
        <v>1</v>
      </c>
      <c r="B85" s="45">
        <v>2</v>
      </c>
      <c r="C85" s="45">
        <v>3</v>
      </c>
      <c r="D85" s="45">
        <v>4</v>
      </c>
      <c r="E85" s="45">
        <v>5</v>
      </c>
      <c r="F85" s="45">
        <v>9</v>
      </c>
      <c r="G85" s="45">
        <v>10</v>
      </c>
      <c r="H85" s="45">
        <v>11</v>
      </c>
    </row>
    <row r="86" spans="1:8" ht="31.5" x14ac:dyDescent="0.2">
      <c r="A86" s="17" t="s">
        <v>426</v>
      </c>
      <c r="B86" s="45">
        <v>1</v>
      </c>
      <c r="C86" s="17">
        <v>1</v>
      </c>
      <c r="D86" s="17">
        <v>1</v>
      </c>
      <c r="E86" s="17">
        <v>1</v>
      </c>
      <c r="F86" s="44">
        <v>150154</v>
      </c>
      <c r="G86" s="44">
        <v>150154</v>
      </c>
      <c r="H86" s="44">
        <v>150154</v>
      </c>
    </row>
    <row r="87" spans="1:8" ht="20.25" customHeight="1" x14ac:dyDescent="0.2">
      <c r="A87" s="17" t="s">
        <v>133</v>
      </c>
      <c r="B87" s="45">
        <v>9000</v>
      </c>
      <c r="C87" s="45" t="s">
        <v>11</v>
      </c>
      <c r="D87" s="45" t="s">
        <v>11</v>
      </c>
      <c r="E87" s="45" t="s">
        <v>11</v>
      </c>
      <c r="F87" s="166">
        <f>SUM(F86:F86)</f>
        <v>150154</v>
      </c>
      <c r="G87" s="166">
        <f>SUM(G86:G86)</f>
        <v>150154</v>
      </c>
      <c r="H87" s="166">
        <f>SUM(H86:H86)</f>
        <v>150154</v>
      </c>
    </row>
    <row r="88" spans="1:8" ht="15.75" x14ac:dyDescent="0.25">
      <c r="A88" s="66"/>
      <c r="B88" s="66"/>
      <c r="C88" s="66"/>
      <c r="D88" s="66"/>
      <c r="E88" s="66"/>
      <c r="F88" s="66"/>
      <c r="G88" s="66"/>
      <c r="H88" s="66"/>
    </row>
    <row r="89" spans="1:8" ht="15.75" x14ac:dyDescent="0.25">
      <c r="A89" s="96" t="s">
        <v>495</v>
      </c>
      <c r="B89" s="76"/>
      <c r="C89" s="104"/>
      <c r="D89" s="66"/>
      <c r="E89" s="66"/>
      <c r="F89" s="66"/>
      <c r="G89" s="66"/>
      <c r="H89" s="66"/>
    </row>
    <row r="90" spans="1:8" ht="15.75" x14ac:dyDescent="0.2">
      <c r="A90" s="373" t="s">
        <v>215</v>
      </c>
      <c r="B90" s="373" t="s">
        <v>1</v>
      </c>
      <c r="C90" s="373" t="s">
        <v>334</v>
      </c>
      <c r="D90" s="373"/>
      <c r="E90" s="373"/>
      <c r="F90" s="373" t="s">
        <v>335</v>
      </c>
      <c r="G90" s="373"/>
      <c r="H90" s="373"/>
    </row>
    <row r="91" spans="1:8" ht="15.75" x14ac:dyDescent="0.2">
      <c r="A91" s="373"/>
      <c r="B91" s="373"/>
      <c r="C91" s="295" t="s">
        <v>418</v>
      </c>
      <c r="D91" s="295" t="s">
        <v>548</v>
      </c>
      <c r="E91" s="295" t="s">
        <v>583</v>
      </c>
      <c r="F91" s="295" t="s">
        <v>418</v>
      </c>
      <c r="G91" s="295" t="s">
        <v>548</v>
      </c>
      <c r="H91" s="295" t="s">
        <v>583</v>
      </c>
    </row>
    <row r="92" spans="1:8" ht="47.25" x14ac:dyDescent="0.2">
      <c r="A92" s="373"/>
      <c r="B92" s="373"/>
      <c r="C92" s="45" t="s">
        <v>73</v>
      </c>
      <c r="D92" s="45" t="s">
        <v>74</v>
      </c>
      <c r="E92" s="45" t="s">
        <v>75</v>
      </c>
      <c r="F92" s="45" t="s">
        <v>73</v>
      </c>
      <c r="G92" s="45" t="s">
        <v>74</v>
      </c>
      <c r="H92" s="45" t="s">
        <v>75</v>
      </c>
    </row>
    <row r="93" spans="1:8" ht="15.75" x14ac:dyDescent="0.2">
      <c r="A93" s="45">
        <v>1</v>
      </c>
      <c r="B93" s="45">
        <v>2</v>
      </c>
      <c r="C93" s="45">
        <v>3</v>
      </c>
      <c r="D93" s="45">
        <v>4</v>
      </c>
      <c r="E93" s="45">
        <v>5</v>
      </c>
      <c r="F93" s="45">
        <v>9</v>
      </c>
      <c r="G93" s="45">
        <v>10</v>
      </c>
      <c r="H93" s="45">
        <v>11</v>
      </c>
    </row>
    <row r="94" spans="1:8" ht="31.5" x14ac:dyDescent="0.2">
      <c r="A94" s="17" t="s">
        <v>353</v>
      </c>
      <c r="B94" s="45">
        <v>1</v>
      </c>
      <c r="C94" s="17">
        <v>1</v>
      </c>
      <c r="D94" s="17">
        <v>1</v>
      </c>
      <c r="E94" s="17">
        <v>1</v>
      </c>
      <c r="F94" s="44">
        <v>5217170</v>
      </c>
      <c r="G94" s="44">
        <v>5217170</v>
      </c>
      <c r="H94" s="44">
        <v>5217170</v>
      </c>
    </row>
    <row r="95" spans="1:8" ht="21" customHeight="1" x14ac:dyDescent="0.2">
      <c r="A95" s="17" t="s">
        <v>133</v>
      </c>
      <c r="B95" s="45">
        <v>9000</v>
      </c>
      <c r="C95" s="45" t="s">
        <v>11</v>
      </c>
      <c r="D95" s="45" t="s">
        <v>11</v>
      </c>
      <c r="E95" s="45" t="s">
        <v>11</v>
      </c>
      <c r="F95" s="166">
        <f>SUM(F94:F94)</f>
        <v>5217170</v>
      </c>
      <c r="G95" s="166">
        <f>SUM(G94:G94)</f>
        <v>5217170</v>
      </c>
      <c r="H95" s="166">
        <f>SUM(H94:H94)</f>
        <v>5217170</v>
      </c>
    </row>
    <row r="96" spans="1:8" ht="21" customHeight="1" x14ac:dyDescent="0.2">
      <c r="A96" s="90"/>
      <c r="B96" s="67"/>
      <c r="C96" s="67"/>
      <c r="D96" s="67"/>
      <c r="E96" s="67"/>
      <c r="F96" s="136"/>
      <c r="G96" s="136"/>
      <c r="H96" s="136"/>
    </row>
    <row r="97" spans="1:8" ht="21" hidden="1" customHeight="1" x14ac:dyDescent="0.2">
      <c r="A97" s="90"/>
      <c r="B97" s="67"/>
      <c r="C97" s="67"/>
      <c r="D97" s="67"/>
      <c r="E97" s="67"/>
      <c r="F97" s="136"/>
      <c r="G97" s="136"/>
      <c r="H97" s="136"/>
    </row>
    <row r="98" spans="1:8" ht="21" hidden="1" customHeight="1" x14ac:dyDescent="0.2">
      <c r="A98" s="90"/>
      <c r="B98" s="67"/>
      <c r="C98" s="67"/>
      <c r="D98" s="67"/>
      <c r="E98" s="67"/>
      <c r="F98" s="136"/>
      <c r="G98" s="136"/>
      <c r="H98" s="136"/>
    </row>
    <row r="99" spans="1:8" ht="21" hidden="1" customHeight="1" x14ac:dyDescent="0.2">
      <c r="A99" s="90"/>
      <c r="B99" s="67"/>
      <c r="C99" s="67"/>
      <c r="D99" s="67"/>
      <c r="E99" s="67"/>
      <c r="F99" s="136"/>
      <c r="G99" s="136"/>
      <c r="H99" s="136"/>
    </row>
    <row r="100" spans="1:8" ht="21" hidden="1" customHeight="1" x14ac:dyDescent="0.2">
      <c r="A100" s="90"/>
      <c r="B100" s="67"/>
      <c r="C100" s="67"/>
      <c r="D100" s="67"/>
      <c r="E100" s="67"/>
      <c r="F100" s="136"/>
      <c r="G100" s="136"/>
      <c r="H100" s="136"/>
    </row>
    <row r="101" spans="1:8" ht="15.75" x14ac:dyDescent="0.25">
      <c r="A101" s="66"/>
      <c r="B101" s="66"/>
      <c r="C101" s="66"/>
      <c r="D101" s="66"/>
      <c r="E101" s="66"/>
      <c r="F101" s="66"/>
      <c r="G101" s="66"/>
      <c r="H101" s="66"/>
    </row>
    <row r="102" spans="1:8" ht="15.75" x14ac:dyDescent="0.25">
      <c r="A102" s="96" t="s">
        <v>521</v>
      </c>
      <c r="B102" s="76"/>
      <c r="C102" s="104"/>
      <c r="D102" s="66"/>
      <c r="E102" s="66"/>
      <c r="F102" s="66"/>
      <c r="G102" s="66"/>
      <c r="H102" s="66"/>
    </row>
    <row r="103" spans="1:8" ht="15.75" x14ac:dyDescent="0.2">
      <c r="A103" s="373" t="s">
        <v>215</v>
      </c>
      <c r="B103" s="373" t="s">
        <v>1</v>
      </c>
      <c r="C103" s="373" t="s">
        <v>334</v>
      </c>
      <c r="D103" s="373"/>
      <c r="E103" s="373"/>
      <c r="F103" s="373" t="s">
        <v>335</v>
      </c>
      <c r="G103" s="373"/>
      <c r="H103" s="373"/>
    </row>
    <row r="104" spans="1:8" ht="15.75" x14ac:dyDescent="0.2">
      <c r="A104" s="373"/>
      <c r="B104" s="373"/>
      <c r="C104" s="294" t="s">
        <v>548</v>
      </c>
      <c r="D104" s="294" t="s">
        <v>548</v>
      </c>
      <c r="E104" s="294" t="s">
        <v>583</v>
      </c>
      <c r="F104" s="294" t="s">
        <v>548</v>
      </c>
      <c r="G104" s="294" t="s">
        <v>548</v>
      </c>
      <c r="H104" s="294" t="s">
        <v>583</v>
      </c>
    </row>
    <row r="105" spans="1:8" ht="47.25" x14ac:dyDescent="0.2">
      <c r="A105" s="373"/>
      <c r="B105" s="373"/>
      <c r="C105" s="45" t="s">
        <v>73</v>
      </c>
      <c r="D105" s="45" t="s">
        <v>74</v>
      </c>
      <c r="E105" s="45" t="s">
        <v>75</v>
      </c>
      <c r="F105" s="45" t="s">
        <v>73</v>
      </c>
      <c r="G105" s="45" t="s">
        <v>74</v>
      </c>
      <c r="H105" s="45" t="s">
        <v>75</v>
      </c>
    </row>
    <row r="106" spans="1:8" ht="15.75" x14ac:dyDescent="0.2">
      <c r="A106" s="45">
        <v>1</v>
      </c>
      <c r="B106" s="45">
        <v>2</v>
      </c>
      <c r="C106" s="45">
        <v>3</v>
      </c>
      <c r="D106" s="45">
        <v>4</v>
      </c>
      <c r="E106" s="45">
        <v>5</v>
      </c>
      <c r="F106" s="45">
        <v>9</v>
      </c>
      <c r="G106" s="45">
        <v>10</v>
      </c>
      <c r="H106" s="45">
        <v>11</v>
      </c>
    </row>
    <row r="107" spans="1:8" ht="31.5" x14ac:dyDescent="0.2">
      <c r="A107" s="17" t="s">
        <v>500</v>
      </c>
      <c r="B107" s="45">
        <v>1</v>
      </c>
      <c r="C107" s="17">
        <v>1</v>
      </c>
      <c r="D107" s="17">
        <v>1</v>
      </c>
      <c r="E107" s="17">
        <v>1</v>
      </c>
      <c r="F107" s="44">
        <v>1475072.63</v>
      </c>
      <c r="G107" s="44">
        <v>1417373</v>
      </c>
      <c r="H107" s="44">
        <v>1450347.02</v>
      </c>
    </row>
    <row r="108" spans="1:8" ht="15.75" x14ac:dyDescent="0.2">
      <c r="A108" s="17"/>
      <c r="B108" s="45">
        <f>B107+1</f>
        <v>2</v>
      </c>
      <c r="C108" s="17">
        <v>1</v>
      </c>
      <c r="D108" s="17"/>
      <c r="E108" s="17"/>
      <c r="F108" s="44"/>
      <c r="G108" s="44"/>
      <c r="H108" s="44"/>
    </row>
    <row r="109" spans="1:8" ht="21.75" customHeight="1" x14ac:dyDescent="0.2">
      <c r="A109" s="17" t="s">
        <v>133</v>
      </c>
      <c r="B109" s="45">
        <v>9000</v>
      </c>
      <c r="C109" s="45" t="s">
        <v>11</v>
      </c>
      <c r="D109" s="45" t="s">
        <v>11</v>
      </c>
      <c r="E109" s="45" t="s">
        <v>11</v>
      </c>
      <c r="F109" s="166">
        <f>SUM(F107:F108)</f>
        <v>1475072.63</v>
      </c>
      <c r="G109" s="166">
        <f>SUM(G107:G108)</f>
        <v>1417373</v>
      </c>
      <c r="H109" s="166">
        <f>SUM(H107:H108)</f>
        <v>1450347.02</v>
      </c>
    </row>
    <row r="110" spans="1:8" ht="26.25" customHeight="1" x14ac:dyDescent="0.25">
      <c r="A110" s="66"/>
      <c r="B110" s="66"/>
      <c r="C110" s="66"/>
      <c r="D110" s="66"/>
      <c r="E110" s="66"/>
      <c r="F110" s="66"/>
      <c r="G110" s="66"/>
      <c r="H110" s="66"/>
    </row>
    <row r="111" spans="1:8" ht="1.5" customHeight="1" x14ac:dyDescent="0.2">
      <c r="A111" s="90"/>
      <c r="B111" s="67"/>
      <c r="C111" s="67"/>
      <c r="D111" s="67"/>
      <c r="E111" s="67"/>
      <c r="F111" s="136"/>
      <c r="G111" s="136"/>
      <c r="H111" s="136"/>
    </row>
    <row r="112" spans="1:8" ht="24" hidden="1" customHeight="1" x14ac:dyDescent="0.2">
      <c r="A112" s="90"/>
      <c r="B112" s="67"/>
      <c r="C112" s="67"/>
      <c r="D112" s="67"/>
      <c r="E112" s="67"/>
      <c r="F112" s="136"/>
      <c r="G112" s="136"/>
      <c r="H112" s="136"/>
    </row>
    <row r="113" spans="1:8" ht="16.5" hidden="1" customHeight="1" x14ac:dyDescent="0.25">
      <c r="A113" s="66"/>
      <c r="B113" s="66"/>
      <c r="C113" s="66"/>
      <c r="D113" s="66"/>
      <c r="E113" s="66"/>
      <c r="F113" s="66"/>
      <c r="G113" s="66"/>
      <c r="H113" s="66"/>
    </row>
    <row r="114" spans="1:8" ht="23.25" hidden="1" customHeight="1" x14ac:dyDescent="0.25">
      <c r="A114" s="66"/>
      <c r="B114" s="66"/>
      <c r="C114" s="66"/>
      <c r="D114" s="66"/>
      <c r="E114" s="66"/>
      <c r="F114" s="66"/>
      <c r="G114" s="66"/>
      <c r="H114" s="66"/>
    </row>
    <row r="115" spans="1:8" ht="27.75" hidden="1" customHeight="1" x14ac:dyDescent="0.25">
      <c r="A115" s="66"/>
      <c r="B115" s="66"/>
      <c r="C115" s="66"/>
      <c r="D115" s="66"/>
      <c r="E115" s="66"/>
      <c r="F115" s="66"/>
      <c r="G115" s="66"/>
      <c r="H115" s="66"/>
    </row>
    <row r="116" spans="1:8" ht="1.5" hidden="1" customHeight="1" x14ac:dyDescent="0.25">
      <c r="A116" s="66"/>
      <c r="B116" s="66"/>
      <c r="C116" s="66"/>
      <c r="D116" s="66"/>
      <c r="E116" s="66"/>
      <c r="F116" s="66"/>
      <c r="G116" s="66"/>
      <c r="H116" s="66"/>
    </row>
    <row r="117" spans="1:8" ht="15.75" x14ac:dyDescent="0.25">
      <c r="A117" s="66"/>
      <c r="B117" s="66"/>
      <c r="C117" s="66"/>
      <c r="D117" s="66"/>
      <c r="E117" s="66"/>
      <c r="F117" s="97"/>
      <c r="G117" s="97"/>
      <c r="H117" s="97"/>
    </row>
    <row r="118" spans="1:8" ht="15.75" x14ac:dyDescent="0.25">
      <c r="A118" s="96" t="s">
        <v>522</v>
      </c>
      <c r="B118" s="76"/>
      <c r="C118" s="104"/>
      <c r="D118" s="66"/>
      <c r="E118" s="66"/>
      <c r="F118" s="66"/>
      <c r="G118" s="66"/>
      <c r="H118" s="66"/>
    </row>
    <row r="119" spans="1:8" ht="15.75" x14ac:dyDescent="0.2">
      <c r="A119" s="373" t="s">
        <v>215</v>
      </c>
      <c r="B119" s="373" t="s">
        <v>1</v>
      </c>
      <c r="C119" s="373" t="s">
        <v>334</v>
      </c>
      <c r="D119" s="373"/>
      <c r="E119" s="373"/>
      <c r="F119" s="373" t="s">
        <v>335</v>
      </c>
      <c r="G119" s="373"/>
      <c r="H119" s="373"/>
    </row>
    <row r="120" spans="1:8" ht="15.75" x14ac:dyDescent="0.2">
      <c r="A120" s="373"/>
      <c r="B120" s="373"/>
      <c r="C120" s="294" t="s">
        <v>548</v>
      </c>
      <c r="D120" s="294" t="s">
        <v>548</v>
      </c>
      <c r="E120" s="294" t="s">
        <v>583</v>
      </c>
      <c r="F120" s="294" t="s">
        <v>548</v>
      </c>
      <c r="G120" s="294" t="s">
        <v>548</v>
      </c>
      <c r="H120" s="294" t="s">
        <v>583</v>
      </c>
    </row>
    <row r="121" spans="1:8" ht="47.25" x14ac:dyDescent="0.2">
      <c r="A121" s="373"/>
      <c r="B121" s="373"/>
      <c r="C121" s="135" t="s">
        <v>73</v>
      </c>
      <c r="D121" s="135" t="s">
        <v>74</v>
      </c>
      <c r="E121" s="135" t="s">
        <v>75</v>
      </c>
      <c r="F121" s="135" t="s">
        <v>73</v>
      </c>
      <c r="G121" s="135" t="s">
        <v>74</v>
      </c>
      <c r="H121" s="135" t="s">
        <v>75</v>
      </c>
    </row>
    <row r="122" spans="1:8" ht="15.75" x14ac:dyDescent="0.2">
      <c r="A122" s="135">
        <v>1</v>
      </c>
      <c r="B122" s="135">
        <v>2</v>
      </c>
      <c r="C122" s="135">
        <v>3</v>
      </c>
      <c r="D122" s="135">
        <v>4</v>
      </c>
      <c r="E122" s="135">
        <v>5</v>
      </c>
      <c r="F122" s="135">
        <v>9</v>
      </c>
      <c r="G122" s="135">
        <v>10</v>
      </c>
      <c r="H122" s="135">
        <v>11</v>
      </c>
    </row>
    <row r="123" spans="1:8" ht="31.5" x14ac:dyDescent="0.2">
      <c r="A123" s="17" t="s">
        <v>500</v>
      </c>
      <c r="B123" s="135">
        <v>1</v>
      </c>
      <c r="C123" s="17">
        <v>1</v>
      </c>
      <c r="D123" s="17">
        <v>1</v>
      </c>
      <c r="E123" s="17">
        <v>1</v>
      </c>
      <c r="F123" s="134">
        <v>3611373.34</v>
      </c>
      <c r="G123" s="134">
        <v>3470110</v>
      </c>
      <c r="H123" s="134">
        <v>3550838.48</v>
      </c>
    </row>
    <row r="124" spans="1:8" ht="0.75" customHeight="1" x14ac:dyDescent="0.2">
      <c r="A124" s="17"/>
      <c r="B124" s="135">
        <f>B123+1</f>
        <v>2</v>
      </c>
      <c r="C124" s="17">
        <v>1</v>
      </c>
      <c r="D124" s="17"/>
      <c r="E124" s="17"/>
      <c r="F124" s="134"/>
      <c r="G124" s="134"/>
      <c r="H124" s="134"/>
    </row>
    <row r="125" spans="1:8" ht="24.75" customHeight="1" x14ac:dyDescent="0.2">
      <c r="A125" s="17" t="s">
        <v>133</v>
      </c>
      <c r="B125" s="135">
        <v>9000</v>
      </c>
      <c r="C125" s="135" t="s">
        <v>11</v>
      </c>
      <c r="D125" s="135" t="s">
        <v>11</v>
      </c>
      <c r="E125" s="135" t="s">
        <v>11</v>
      </c>
      <c r="F125" s="166">
        <f>SUM(F123:F124)</f>
        <v>3611373.34</v>
      </c>
      <c r="G125" s="166">
        <f>SUM(G123:G124)</f>
        <v>3470110</v>
      </c>
      <c r="H125" s="166">
        <f>SUM(H123:H124)</f>
        <v>3550838.48</v>
      </c>
    </row>
    <row r="128" spans="1:8" ht="15.75" x14ac:dyDescent="0.25">
      <c r="A128" s="96" t="s">
        <v>523</v>
      </c>
      <c r="B128" s="76"/>
      <c r="C128" s="104"/>
      <c r="D128" s="66"/>
      <c r="E128" s="66"/>
      <c r="F128" s="66"/>
      <c r="G128" s="66"/>
      <c r="H128" s="66"/>
    </row>
    <row r="129" spans="1:8" ht="15.75" x14ac:dyDescent="0.2">
      <c r="A129" s="373" t="s">
        <v>215</v>
      </c>
      <c r="B129" s="373" t="s">
        <v>1</v>
      </c>
      <c r="C129" s="373" t="s">
        <v>334</v>
      </c>
      <c r="D129" s="373"/>
      <c r="E129" s="373"/>
      <c r="F129" s="373" t="s">
        <v>335</v>
      </c>
      <c r="G129" s="373"/>
      <c r="H129" s="373"/>
    </row>
    <row r="130" spans="1:8" ht="15.75" x14ac:dyDescent="0.2">
      <c r="A130" s="373"/>
      <c r="B130" s="373"/>
      <c r="C130" s="294" t="s">
        <v>548</v>
      </c>
      <c r="D130" s="294" t="s">
        <v>548</v>
      </c>
      <c r="E130" s="294" t="s">
        <v>583</v>
      </c>
      <c r="F130" s="294" t="s">
        <v>548</v>
      </c>
      <c r="G130" s="294" t="s">
        <v>548</v>
      </c>
      <c r="H130" s="294" t="s">
        <v>583</v>
      </c>
    </row>
    <row r="131" spans="1:8" ht="47.25" x14ac:dyDescent="0.2">
      <c r="A131" s="373"/>
      <c r="B131" s="373"/>
      <c r="C131" s="135" t="s">
        <v>73</v>
      </c>
      <c r="D131" s="135" t="s">
        <v>74</v>
      </c>
      <c r="E131" s="135" t="s">
        <v>75</v>
      </c>
      <c r="F131" s="135" t="s">
        <v>73</v>
      </c>
      <c r="G131" s="135" t="s">
        <v>74</v>
      </c>
      <c r="H131" s="135" t="s">
        <v>75</v>
      </c>
    </row>
    <row r="132" spans="1:8" ht="15.75" x14ac:dyDescent="0.2">
      <c r="A132" s="135">
        <v>1</v>
      </c>
      <c r="B132" s="135">
        <v>2</v>
      </c>
      <c r="C132" s="135">
        <v>3</v>
      </c>
      <c r="D132" s="135">
        <v>4</v>
      </c>
      <c r="E132" s="135">
        <v>5</v>
      </c>
      <c r="F132" s="135">
        <v>9</v>
      </c>
      <c r="G132" s="135">
        <v>10</v>
      </c>
      <c r="H132" s="135">
        <v>11</v>
      </c>
    </row>
    <row r="133" spans="1:8" ht="31.5" customHeight="1" x14ac:dyDescent="0.2">
      <c r="A133" s="17" t="s">
        <v>500</v>
      </c>
      <c r="B133" s="135">
        <v>1</v>
      </c>
      <c r="C133" s="17">
        <v>1</v>
      </c>
      <c r="D133" s="17">
        <v>1</v>
      </c>
      <c r="E133" s="17">
        <v>1</v>
      </c>
      <c r="F133" s="134">
        <v>5097.99</v>
      </c>
      <c r="G133" s="134">
        <v>4892</v>
      </c>
      <c r="H133" s="134">
        <v>5008.49</v>
      </c>
    </row>
    <row r="134" spans="1:8" ht="1.5" hidden="1" customHeight="1" x14ac:dyDescent="0.2">
      <c r="A134" s="17"/>
      <c r="B134" s="135">
        <f>B133+1</f>
        <v>2</v>
      </c>
      <c r="C134" s="17">
        <v>1</v>
      </c>
      <c r="D134" s="17"/>
      <c r="E134" s="17"/>
      <c r="F134" s="134"/>
      <c r="G134" s="134"/>
      <c r="H134" s="134"/>
    </row>
    <row r="135" spans="1:8" ht="26.25" customHeight="1" x14ac:dyDescent="0.2">
      <c r="A135" s="17" t="s">
        <v>133</v>
      </c>
      <c r="B135" s="135">
        <v>9000</v>
      </c>
      <c r="C135" s="135" t="s">
        <v>11</v>
      </c>
      <c r="D135" s="135" t="s">
        <v>11</v>
      </c>
      <c r="E135" s="135" t="s">
        <v>11</v>
      </c>
      <c r="F135" s="166">
        <f>SUM(F133:F134)</f>
        <v>5097.99</v>
      </c>
      <c r="G135" s="166">
        <f>SUM(G133:G134)</f>
        <v>4892</v>
      </c>
      <c r="H135" s="166">
        <f>SUM(H133:H134)</f>
        <v>5008.49</v>
      </c>
    </row>
    <row r="138" spans="1:8" ht="25.5" x14ac:dyDescent="0.2">
      <c r="A138" s="274" t="s">
        <v>575</v>
      </c>
    </row>
    <row r="139" spans="1:8" ht="15.75" x14ac:dyDescent="0.2">
      <c r="A139" s="373" t="s">
        <v>215</v>
      </c>
      <c r="B139" s="373" t="s">
        <v>1</v>
      </c>
      <c r="C139" s="373" t="s">
        <v>334</v>
      </c>
      <c r="D139" s="373"/>
      <c r="E139" s="373"/>
      <c r="F139" s="373" t="s">
        <v>335</v>
      </c>
      <c r="G139" s="373"/>
      <c r="H139" s="373"/>
    </row>
    <row r="140" spans="1:8" ht="15.75" x14ac:dyDescent="0.2">
      <c r="A140" s="373"/>
      <c r="B140" s="373"/>
      <c r="C140" s="295" t="s">
        <v>418</v>
      </c>
      <c r="D140" s="295" t="s">
        <v>548</v>
      </c>
      <c r="E140" s="295" t="s">
        <v>583</v>
      </c>
      <c r="F140" s="295" t="s">
        <v>418</v>
      </c>
      <c r="G140" s="295" t="s">
        <v>548</v>
      </c>
      <c r="H140" s="295" t="s">
        <v>583</v>
      </c>
    </row>
    <row r="141" spans="1:8" ht="47.25" x14ac:dyDescent="0.2">
      <c r="A141" s="373"/>
      <c r="B141" s="373"/>
      <c r="C141" s="277" t="s">
        <v>73</v>
      </c>
      <c r="D141" s="277" t="s">
        <v>74</v>
      </c>
      <c r="E141" s="277" t="s">
        <v>75</v>
      </c>
      <c r="F141" s="277" t="s">
        <v>73</v>
      </c>
      <c r="G141" s="277" t="s">
        <v>74</v>
      </c>
      <c r="H141" s="277" t="s">
        <v>75</v>
      </c>
    </row>
    <row r="142" spans="1:8" ht="15.75" x14ac:dyDescent="0.2">
      <c r="A142" s="277">
        <v>1</v>
      </c>
      <c r="B142" s="277">
        <v>2</v>
      </c>
      <c r="C142" s="277">
        <v>3</v>
      </c>
      <c r="D142" s="277">
        <v>4</v>
      </c>
      <c r="E142" s="277">
        <v>5</v>
      </c>
      <c r="F142" s="277">
        <v>9</v>
      </c>
      <c r="G142" s="277">
        <v>10</v>
      </c>
      <c r="H142" s="277">
        <v>11</v>
      </c>
    </row>
    <row r="143" spans="1:8" ht="63" x14ac:dyDescent="0.2">
      <c r="A143" s="17" t="s">
        <v>634</v>
      </c>
      <c r="B143" s="277"/>
      <c r="C143" s="17">
        <v>1</v>
      </c>
      <c r="D143" s="17"/>
      <c r="E143" s="17"/>
      <c r="F143" s="276">
        <v>172800</v>
      </c>
      <c r="G143" s="276"/>
      <c r="H143" s="276"/>
    </row>
    <row r="144" spans="1:8" ht="31.5" x14ac:dyDescent="0.2">
      <c r="A144" s="17" t="s">
        <v>607</v>
      </c>
      <c r="B144" s="277"/>
      <c r="C144" s="17">
        <v>1</v>
      </c>
      <c r="D144" s="17"/>
      <c r="E144" s="17"/>
      <c r="F144" s="276">
        <v>71096.600000000006</v>
      </c>
      <c r="G144" s="276"/>
      <c r="H144" s="276"/>
    </row>
    <row r="145" spans="1:8" ht="15.75" x14ac:dyDescent="0.2">
      <c r="A145" s="17" t="s">
        <v>133</v>
      </c>
      <c r="B145" s="277">
        <v>9000</v>
      </c>
      <c r="C145" s="277" t="s">
        <v>11</v>
      </c>
      <c r="D145" s="277" t="s">
        <v>11</v>
      </c>
      <c r="E145" s="277" t="s">
        <v>11</v>
      </c>
      <c r="F145" s="225">
        <f>SUM(F143:F144)</f>
        <v>243896.6</v>
      </c>
      <c r="G145" s="225">
        <f>SUM(G143:G144)</f>
        <v>0</v>
      </c>
      <c r="H145" s="225">
        <f>SUM(H143:H144)</f>
        <v>0</v>
      </c>
    </row>
    <row r="147" spans="1:8" ht="18.75" x14ac:dyDescent="0.3">
      <c r="F147" s="110">
        <f>F145+F135+F125+F109+F95+F87+F74+F66+F42+F32+F20</f>
        <v>11545887.559999999</v>
      </c>
      <c r="G147" s="110">
        <f t="shared" ref="G147:H147" si="1">G145+G135+G125+G109+G95+G87+G74+G66+G42+G32+G20</f>
        <v>11102822</v>
      </c>
      <c r="H147" s="110">
        <f t="shared" si="1"/>
        <v>11216640.99</v>
      </c>
    </row>
  </sheetData>
  <mergeCells count="48">
    <mergeCell ref="A139:A141"/>
    <mergeCell ref="B139:B141"/>
    <mergeCell ref="C139:E139"/>
    <mergeCell ref="F139:H139"/>
    <mergeCell ref="A119:A121"/>
    <mergeCell ref="B119:B121"/>
    <mergeCell ref="C119:E119"/>
    <mergeCell ref="F119:H119"/>
    <mergeCell ref="A129:A131"/>
    <mergeCell ref="B129:B131"/>
    <mergeCell ref="C129:E129"/>
    <mergeCell ref="F129:H129"/>
    <mergeCell ref="A4:A6"/>
    <mergeCell ref="B4:B6"/>
    <mergeCell ref="C4:E4"/>
    <mergeCell ref="F4:H4"/>
    <mergeCell ref="A35:A37"/>
    <mergeCell ref="B35:B37"/>
    <mergeCell ref="C35:E35"/>
    <mergeCell ref="F35:H35"/>
    <mergeCell ref="A24:A26"/>
    <mergeCell ref="B24:B26"/>
    <mergeCell ref="C24:E24"/>
    <mergeCell ref="F24:H24"/>
    <mergeCell ref="C59:E59"/>
    <mergeCell ref="F59:H59"/>
    <mergeCell ref="A48:A50"/>
    <mergeCell ref="B48:B50"/>
    <mergeCell ref="C48:E48"/>
    <mergeCell ref="F48:H48"/>
    <mergeCell ref="A59:A61"/>
    <mergeCell ref="B59:B61"/>
    <mergeCell ref="A82:A84"/>
    <mergeCell ref="B82:B84"/>
    <mergeCell ref="C82:E82"/>
    <mergeCell ref="F82:H82"/>
    <mergeCell ref="A69:A71"/>
    <mergeCell ref="B69:B71"/>
    <mergeCell ref="C69:E69"/>
    <mergeCell ref="F69:H69"/>
    <mergeCell ref="A90:A92"/>
    <mergeCell ref="B90:B92"/>
    <mergeCell ref="C90:E90"/>
    <mergeCell ref="F90:H90"/>
    <mergeCell ref="A103:A105"/>
    <mergeCell ref="B103:B105"/>
    <mergeCell ref="C103:E103"/>
    <mergeCell ref="F103:H103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104"/>
  <sheetViews>
    <sheetView topLeftCell="A53" workbookViewId="0">
      <selection activeCell="N76" sqref="N76"/>
    </sheetView>
  </sheetViews>
  <sheetFormatPr defaultRowHeight="12.75" x14ac:dyDescent="0.2"/>
  <cols>
    <col min="1" max="1" width="30" style="3" customWidth="1"/>
    <col min="2" max="2" width="9.140625" style="3"/>
    <col min="3" max="8" width="14.5703125" style="3" customWidth="1"/>
    <col min="9" max="9" width="17.7109375" style="3" customWidth="1"/>
    <col min="10" max="10" width="17.28515625" style="3" customWidth="1"/>
    <col min="11" max="11" width="18.140625" style="3" customWidth="1"/>
    <col min="12" max="16384" width="9.140625" style="3"/>
  </cols>
  <sheetData>
    <row r="1" spans="1:11" ht="15.75" x14ac:dyDescent="0.25">
      <c r="A1" s="66" t="s">
        <v>336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8.2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15.75" x14ac:dyDescent="0.25">
      <c r="A3" s="76" t="s">
        <v>477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ht="15.75" x14ac:dyDescent="0.2">
      <c r="A4" s="373" t="s">
        <v>215</v>
      </c>
      <c r="B4" s="373" t="s">
        <v>1</v>
      </c>
      <c r="C4" s="373" t="s">
        <v>337</v>
      </c>
      <c r="D4" s="373"/>
      <c r="E4" s="373"/>
      <c r="F4" s="373" t="s">
        <v>338</v>
      </c>
      <c r="G4" s="373"/>
      <c r="H4" s="373"/>
      <c r="I4" s="373" t="s">
        <v>113</v>
      </c>
      <c r="J4" s="373"/>
      <c r="K4" s="373"/>
    </row>
    <row r="5" spans="1:11" ht="15.75" x14ac:dyDescent="0.2">
      <c r="A5" s="373"/>
      <c r="B5" s="373"/>
      <c r="C5" s="352" t="s">
        <v>418</v>
      </c>
      <c r="D5" s="352" t="s">
        <v>548</v>
      </c>
      <c r="E5" s="352" t="s">
        <v>583</v>
      </c>
      <c r="F5" s="352" t="s">
        <v>418</v>
      </c>
      <c r="G5" s="352" t="s">
        <v>548</v>
      </c>
      <c r="H5" s="352" t="s">
        <v>583</v>
      </c>
      <c r="I5" s="352" t="s">
        <v>418</v>
      </c>
      <c r="J5" s="352" t="s">
        <v>548</v>
      </c>
      <c r="K5" s="352" t="s">
        <v>583</v>
      </c>
    </row>
    <row r="6" spans="1:11" ht="47.25" x14ac:dyDescent="0.2">
      <c r="A6" s="373"/>
      <c r="B6" s="373"/>
      <c r="C6" s="352" t="s">
        <v>73</v>
      </c>
      <c r="D6" s="352" t="s">
        <v>74</v>
      </c>
      <c r="E6" s="352" t="s">
        <v>75</v>
      </c>
      <c r="F6" s="352" t="s">
        <v>73</v>
      </c>
      <c r="G6" s="352" t="s">
        <v>74</v>
      </c>
      <c r="H6" s="352" t="s">
        <v>75</v>
      </c>
      <c r="I6" s="352" t="s">
        <v>73</v>
      </c>
      <c r="J6" s="352" t="s">
        <v>74</v>
      </c>
      <c r="K6" s="352" t="s">
        <v>75</v>
      </c>
    </row>
    <row r="7" spans="1:11" ht="15.75" x14ac:dyDescent="0.2">
      <c r="A7" s="352">
        <v>1</v>
      </c>
      <c r="B7" s="352">
        <v>2</v>
      </c>
      <c r="C7" s="352">
        <v>3</v>
      </c>
      <c r="D7" s="352">
        <v>4</v>
      </c>
      <c r="E7" s="352">
        <v>5</v>
      </c>
      <c r="F7" s="352">
        <v>6</v>
      </c>
      <c r="G7" s="352">
        <v>7</v>
      </c>
      <c r="H7" s="352">
        <v>8</v>
      </c>
      <c r="I7" s="352">
        <v>9</v>
      </c>
      <c r="J7" s="352">
        <v>10</v>
      </c>
      <c r="K7" s="352">
        <v>11</v>
      </c>
    </row>
    <row r="8" spans="1:11" ht="26.25" customHeight="1" x14ac:dyDescent="0.2">
      <c r="A8" s="86" t="s">
        <v>386</v>
      </c>
      <c r="B8" s="352">
        <v>1</v>
      </c>
      <c r="C8" s="17">
        <v>25</v>
      </c>
      <c r="D8" s="17">
        <v>25</v>
      </c>
      <c r="E8" s="17">
        <v>25</v>
      </c>
      <c r="F8" s="351">
        <f>I8/C8</f>
        <v>6000</v>
      </c>
      <c r="G8" s="351">
        <f t="shared" ref="G8:H8" si="0">J8/D8</f>
        <v>6000</v>
      </c>
      <c r="H8" s="351">
        <f t="shared" si="0"/>
        <v>6000</v>
      </c>
      <c r="I8" s="83">
        <v>150000</v>
      </c>
      <c r="J8" s="83">
        <v>150000</v>
      </c>
      <c r="K8" s="83">
        <v>150000</v>
      </c>
    </row>
    <row r="9" spans="1:11" ht="19.5" customHeight="1" x14ac:dyDescent="0.2">
      <c r="A9" s="98" t="s">
        <v>387</v>
      </c>
      <c r="B9" s="352">
        <v>2</v>
      </c>
      <c r="C9" s="17">
        <v>50</v>
      </c>
      <c r="D9" s="17">
        <v>50</v>
      </c>
      <c r="E9" s="17">
        <v>50</v>
      </c>
      <c r="F9" s="351">
        <v>6000</v>
      </c>
      <c r="G9" s="351">
        <v>6000</v>
      </c>
      <c r="H9" s="351">
        <v>6000</v>
      </c>
      <c r="I9" s="83">
        <f t="shared" ref="I9:K11" si="1">F9*C9</f>
        <v>300000</v>
      </c>
      <c r="J9" s="83">
        <f t="shared" si="1"/>
        <v>300000</v>
      </c>
      <c r="K9" s="83">
        <f t="shared" si="1"/>
        <v>300000</v>
      </c>
    </row>
    <row r="10" spans="1:11" ht="21.75" customHeight="1" x14ac:dyDescent="0.2">
      <c r="A10" s="82" t="s">
        <v>388</v>
      </c>
      <c r="B10" s="352">
        <v>3</v>
      </c>
      <c r="C10" s="17">
        <v>5</v>
      </c>
      <c r="D10" s="17">
        <v>5</v>
      </c>
      <c r="E10" s="17">
        <v>5</v>
      </c>
      <c r="F10" s="351">
        <v>40000</v>
      </c>
      <c r="G10" s="351">
        <v>40000</v>
      </c>
      <c r="H10" s="351">
        <v>40000</v>
      </c>
      <c r="I10" s="83">
        <f t="shared" si="1"/>
        <v>200000</v>
      </c>
      <c r="J10" s="83">
        <f t="shared" si="1"/>
        <v>200000</v>
      </c>
      <c r="K10" s="83">
        <f t="shared" si="1"/>
        <v>200000</v>
      </c>
    </row>
    <row r="11" spans="1:11" ht="21" customHeight="1" x14ac:dyDescent="0.2">
      <c r="A11" s="82" t="s">
        <v>389</v>
      </c>
      <c r="B11" s="352">
        <v>4</v>
      </c>
      <c r="C11" s="17">
        <v>5</v>
      </c>
      <c r="D11" s="17">
        <v>5</v>
      </c>
      <c r="E11" s="17">
        <v>5</v>
      </c>
      <c r="F11" s="351">
        <v>30000</v>
      </c>
      <c r="G11" s="351">
        <v>30000</v>
      </c>
      <c r="H11" s="351">
        <v>30000</v>
      </c>
      <c r="I11" s="83">
        <f t="shared" si="1"/>
        <v>150000</v>
      </c>
      <c r="J11" s="83">
        <f t="shared" si="1"/>
        <v>150000</v>
      </c>
      <c r="K11" s="83">
        <f t="shared" si="1"/>
        <v>150000</v>
      </c>
    </row>
    <row r="12" spans="1:11" ht="24.75" customHeight="1" x14ac:dyDescent="0.2">
      <c r="A12" s="99" t="s">
        <v>390</v>
      </c>
      <c r="B12" s="352">
        <v>5</v>
      </c>
      <c r="C12" s="17">
        <v>1700</v>
      </c>
      <c r="D12" s="17">
        <v>1700</v>
      </c>
      <c r="E12" s="17">
        <v>1700</v>
      </c>
      <c r="F12" s="351">
        <f>I12/C12</f>
        <v>632.22352941176473</v>
      </c>
      <c r="G12" s="351">
        <f t="shared" ref="G12:H12" si="2">J12/D12</f>
        <v>632.22352941176473</v>
      </c>
      <c r="H12" s="351">
        <f t="shared" si="2"/>
        <v>632.22352941176473</v>
      </c>
      <c r="I12" s="83">
        <v>1074780</v>
      </c>
      <c r="J12" s="83">
        <v>1074780</v>
      </c>
      <c r="K12" s="83">
        <v>1074780</v>
      </c>
    </row>
    <row r="13" spans="1:11" ht="22.5" customHeight="1" x14ac:dyDescent="0.2">
      <c r="A13" s="17" t="s">
        <v>133</v>
      </c>
      <c r="B13" s="352">
        <v>9000</v>
      </c>
      <c r="C13" s="352" t="s">
        <v>11</v>
      </c>
      <c r="D13" s="352" t="s">
        <v>11</v>
      </c>
      <c r="E13" s="352" t="s">
        <v>11</v>
      </c>
      <c r="F13" s="100" t="s">
        <v>11</v>
      </c>
      <c r="G13" s="100" t="s">
        <v>11</v>
      </c>
      <c r="H13" s="100" t="s">
        <v>11</v>
      </c>
      <c r="I13" s="225">
        <f>SUM(I8:I12)</f>
        <v>1874780</v>
      </c>
      <c r="J13" s="225">
        <f>SUM(J8:J12)</f>
        <v>1874780</v>
      </c>
      <c r="K13" s="225">
        <f>SUM(K8:K12)</f>
        <v>1874780</v>
      </c>
    </row>
    <row r="14" spans="1:11" ht="9" customHeight="1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pans="1:11" ht="0.75" hidden="1" customHeight="1" x14ac:dyDescent="0.25">
      <c r="A15" s="76" t="s">
        <v>476</v>
      </c>
      <c r="B15" s="76"/>
      <c r="C15" s="66"/>
      <c r="D15" s="66"/>
      <c r="E15" s="66"/>
      <c r="F15" s="66"/>
      <c r="G15" s="66"/>
      <c r="H15" s="66"/>
      <c r="I15" s="66"/>
      <c r="J15" s="66"/>
      <c r="K15" s="66"/>
    </row>
    <row r="16" spans="1:11" ht="15.75" hidden="1" x14ac:dyDescent="0.2">
      <c r="A16" s="373" t="s">
        <v>215</v>
      </c>
      <c r="B16" s="373" t="s">
        <v>1</v>
      </c>
      <c r="C16" s="373" t="s">
        <v>337</v>
      </c>
      <c r="D16" s="373"/>
      <c r="E16" s="373"/>
      <c r="F16" s="373" t="s">
        <v>338</v>
      </c>
      <c r="G16" s="373"/>
      <c r="H16" s="373"/>
      <c r="I16" s="373" t="s">
        <v>113</v>
      </c>
      <c r="J16" s="373"/>
      <c r="K16" s="373"/>
    </row>
    <row r="17" spans="1:11" ht="31.5" hidden="1" x14ac:dyDescent="0.2">
      <c r="A17" s="373"/>
      <c r="B17" s="373"/>
      <c r="C17" s="352" t="s">
        <v>417</v>
      </c>
      <c r="D17" s="352" t="s">
        <v>418</v>
      </c>
      <c r="E17" s="352" t="s">
        <v>548</v>
      </c>
      <c r="F17" s="352" t="s">
        <v>417</v>
      </c>
      <c r="G17" s="352" t="s">
        <v>418</v>
      </c>
      <c r="H17" s="352" t="s">
        <v>548</v>
      </c>
      <c r="I17" s="352" t="s">
        <v>417</v>
      </c>
      <c r="J17" s="352" t="s">
        <v>418</v>
      </c>
      <c r="K17" s="352" t="s">
        <v>548</v>
      </c>
    </row>
    <row r="18" spans="1:11" ht="94.5" hidden="1" x14ac:dyDescent="0.2">
      <c r="A18" s="373"/>
      <c r="B18" s="373"/>
      <c r="C18" s="352" t="s">
        <v>73</v>
      </c>
      <c r="D18" s="352" t="s">
        <v>74</v>
      </c>
      <c r="E18" s="352" t="s">
        <v>75</v>
      </c>
      <c r="F18" s="352" t="s">
        <v>73</v>
      </c>
      <c r="G18" s="352" t="s">
        <v>74</v>
      </c>
      <c r="H18" s="352" t="s">
        <v>75</v>
      </c>
      <c r="I18" s="352" t="s">
        <v>73</v>
      </c>
      <c r="J18" s="352" t="s">
        <v>74</v>
      </c>
      <c r="K18" s="352" t="s">
        <v>75</v>
      </c>
    </row>
    <row r="19" spans="1:11" ht="15.75" hidden="1" x14ac:dyDescent="0.2">
      <c r="A19" s="352">
        <v>1</v>
      </c>
      <c r="B19" s="352">
        <v>2</v>
      </c>
      <c r="C19" s="352">
        <v>3</v>
      </c>
      <c r="D19" s="352">
        <v>4</v>
      </c>
      <c r="E19" s="352">
        <v>5</v>
      </c>
      <c r="F19" s="352">
        <v>6</v>
      </c>
      <c r="G19" s="352">
        <v>7</v>
      </c>
      <c r="H19" s="352">
        <v>8</v>
      </c>
      <c r="I19" s="352">
        <v>9</v>
      </c>
      <c r="J19" s="352">
        <v>10</v>
      </c>
      <c r="K19" s="352">
        <v>11</v>
      </c>
    </row>
    <row r="20" spans="1:11" ht="27" hidden="1" customHeight="1" x14ac:dyDescent="0.2">
      <c r="A20" s="95" t="s">
        <v>387</v>
      </c>
      <c r="B20" s="352">
        <v>1</v>
      </c>
      <c r="C20" s="17"/>
      <c r="D20" s="17"/>
      <c r="E20" s="17"/>
      <c r="F20" s="351"/>
      <c r="G20" s="351"/>
      <c r="H20" s="351"/>
      <c r="I20" s="92"/>
      <c r="J20" s="92"/>
      <c r="K20" s="92"/>
    </row>
    <row r="21" spans="1:11" ht="39" hidden="1" customHeight="1" x14ac:dyDescent="0.2">
      <c r="A21" s="91" t="s">
        <v>391</v>
      </c>
      <c r="B21" s="352">
        <v>2</v>
      </c>
      <c r="C21" s="17"/>
      <c r="D21" s="17"/>
      <c r="E21" s="17"/>
      <c r="F21" s="351"/>
      <c r="G21" s="351"/>
      <c r="H21" s="351"/>
      <c r="I21" s="94"/>
      <c r="J21" s="94"/>
      <c r="K21" s="94"/>
    </row>
    <row r="22" spans="1:11" ht="18" hidden="1" customHeight="1" x14ac:dyDescent="0.2">
      <c r="A22" s="17" t="s">
        <v>133</v>
      </c>
      <c r="B22" s="352">
        <v>9000</v>
      </c>
      <c r="C22" s="352" t="s">
        <v>11</v>
      </c>
      <c r="D22" s="352" t="s">
        <v>11</v>
      </c>
      <c r="E22" s="352" t="s">
        <v>11</v>
      </c>
      <c r="F22" s="100" t="s">
        <v>11</v>
      </c>
      <c r="G22" s="100" t="s">
        <v>11</v>
      </c>
      <c r="H22" s="100" t="s">
        <v>11</v>
      </c>
      <c r="I22" s="353">
        <f>SUM(I20:I21)</f>
        <v>0</v>
      </c>
      <c r="J22" s="353">
        <f>SUM(J20:J21)</f>
        <v>0</v>
      </c>
      <c r="K22" s="353">
        <f>SUM(K20:K21)</f>
        <v>0</v>
      </c>
    </row>
    <row r="23" spans="1:11" ht="4.5" hidden="1" customHeight="1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</row>
    <row r="24" spans="1:11" ht="15.75" hidden="1" x14ac:dyDescent="0.25">
      <c r="A24" s="96" t="s">
        <v>479</v>
      </c>
      <c r="B24" s="76"/>
      <c r="C24" s="66"/>
      <c r="D24" s="66"/>
      <c r="E24" s="66"/>
      <c r="F24" s="66"/>
      <c r="G24" s="66"/>
      <c r="H24" s="66"/>
      <c r="I24" s="66"/>
      <c r="J24" s="66"/>
      <c r="K24" s="66"/>
    </row>
    <row r="25" spans="1:11" ht="15.75" hidden="1" x14ac:dyDescent="0.2">
      <c r="A25" s="373" t="s">
        <v>215</v>
      </c>
      <c r="B25" s="373" t="s">
        <v>1</v>
      </c>
      <c r="C25" s="373" t="s">
        <v>337</v>
      </c>
      <c r="D25" s="373"/>
      <c r="E25" s="373"/>
      <c r="F25" s="373" t="s">
        <v>338</v>
      </c>
      <c r="G25" s="373"/>
      <c r="H25" s="373"/>
      <c r="I25" s="373" t="s">
        <v>113</v>
      </c>
      <c r="J25" s="373"/>
      <c r="K25" s="373"/>
    </row>
    <row r="26" spans="1:11" ht="31.5" hidden="1" x14ac:dyDescent="0.2">
      <c r="A26" s="373"/>
      <c r="B26" s="373"/>
      <c r="C26" s="352" t="s">
        <v>417</v>
      </c>
      <c r="D26" s="352" t="s">
        <v>418</v>
      </c>
      <c r="E26" s="352" t="s">
        <v>548</v>
      </c>
      <c r="F26" s="352" t="s">
        <v>417</v>
      </c>
      <c r="G26" s="352" t="s">
        <v>418</v>
      </c>
      <c r="H26" s="352" t="s">
        <v>548</v>
      </c>
      <c r="I26" s="352" t="s">
        <v>417</v>
      </c>
      <c r="J26" s="352" t="s">
        <v>418</v>
      </c>
      <c r="K26" s="352" t="s">
        <v>548</v>
      </c>
    </row>
    <row r="27" spans="1:11" ht="94.5" hidden="1" x14ac:dyDescent="0.2">
      <c r="A27" s="373"/>
      <c r="B27" s="373"/>
      <c r="C27" s="352" t="s">
        <v>73</v>
      </c>
      <c r="D27" s="352" t="s">
        <v>74</v>
      </c>
      <c r="E27" s="352" t="s">
        <v>75</v>
      </c>
      <c r="F27" s="352" t="s">
        <v>73</v>
      </c>
      <c r="G27" s="352" t="s">
        <v>74</v>
      </c>
      <c r="H27" s="352" t="s">
        <v>75</v>
      </c>
      <c r="I27" s="352" t="s">
        <v>73</v>
      </c>
      <c r="J27" s="352" t="s">
        <v>74</v>
      </c>
      <c r="K27" s="352" t="s">
        <v>75</v>
      </c>
    </row>
    <row r="28" spans="1:11" ht="15.75" hidden="1" x14ac:dyDescent="0.2">
      <c r="A28" s="352">
        <v>1</v>
      </c>
      <c r="B28" s="352">
        <v>2</v>
      </c>
      <c r="C28" s="352">
        <v>3</v>
      </c>
      <c r="D28" s="352">
        <v>4</v>
      </c>
      <c r="E28" s="352">
        <v>5</v>
      </c>
      <c r="F28" s="352">
        <v>6</v>
      </c>
      <c r="G28" s="352">
        <v>7</v>
      </c>
      <c r="H28" s="352">
        <v>8</v>
      </c>
      <c r="I28" s="352">
        <v>9</v>
      </c>
      <c r="J28" s="352">
        <v>10</v>
      </c>
      <c r="K28" s="352">
        <v>11</v>
      </c>
    </row>
    <row r="29" spans="1:11" ht="21" hidden="1" customHeight="1" x14ac:dyDescent="0.2">
      <c r="A29" s="17" t="s">
        <v>422</v>
      </c>
      <c r="B29" s="352">
        <v>1</v>
      </c>
      <c r="C29" s="17"/>
      <c r="D29" s="17"/>
      <c r="E29" s="17"/>
      <c r="F29" s="351"/>
      <c r="G29" s="351"/>
      <c r="H29" s="351"/>
      <c r="I29" s="351"/>
      <c r="J29" s="351"/>
      <c r="K29" s="351"/>
    </row>
    <row r="30" spans="1:11" ht="21.75" hidden="1" customHeight="1" x14ac:dyDescent="0.2">
      <c r="A30" s="17" t="s">
        <v>133</v>
      </c>
      <c r="B30" s="352">
        <v>9000</v>
      </c>
      <c r="C30" s="352" t="s">
        <v>11</v>
      </c>
      <c r="D30" s="352" t="s">
        <v>11</v>
      </c>
      <c r="E30" s="352" t="s">
        <v>11</v>
      </c>
      <c r="F30" s="100" t="s">
        <v>11</v>
      </c>
      <c r="G30" s="100" t="s">
        <v>11</v>
      </c>
      <c r="H30" s="100" t="s">
        <v>11</v>
      </c>
      <c r="I30" s="353">
        <f>SUM(I29:I29)</f>
        <v>0</v>
      </c>
      <c r="J30" s="353">
        <f>J29</f>
        <v>0</v>
      </c>
      <c r="K30" s="353">
        <f>K29</f>
        <v>0</v>
      </c>
    </row>
    <row r="31" spans="1:11" ht="0.75" hidden="1" customHeight="1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</row>
    <row r="32" spans="1:11" ht="15.75" hidden="1" x14ac:dyDescent="0.25">
      <c r="A32" s="96" t="s">
        <v>480</v>
      </c>
      <c r="B32" s="76"/>
      <c r="C32" s="66"/>
      <c r="D32" s="66"/>
      <c r="E32" s="66"/>
      <c r="F32" s="66"/>
      <c r="G32" s="66"/>
      <c r="H32" s="66"/>
      <c r="I32" s="66"/>
      <c r="J32" s="66"/>
      <c r="K32" s="66"/>
    </row>
    <row r="33" spans="1:11" ht="15.75" hidden="1" x14ac:dyDescent="0.2">
      <c r="A33" s="373" t="s">
        <v>215</v>
      </c>
      <c r="B33" s="373" t="s">
        <v>1</v>
      </c>
      <c r="C33" s="373" t="s">
        <v>337</v>
      </c>
      <c r="D33" s="373"/>
      <c r="E33" s="373"/>
      <c r="F33" s="373" t="s">
        <v>338</v>
      </c>
      <c r="G33" s="373"/>
      <c r="H33" s="373"/>
      <c r="I33" s="373" t="s">
        <v>113</v>
      </c>
      <c r="J33" s="373"/>
      <c r="K33" s="373"/>
    </row>
    <row r="34" spans="1:11" ht="31.5" hidden="1" x14ac:dyDescent="0.2">
      <c r="A34" s="373"/>
      <c r="B34" s="373"/>
      <c r="C34" s="352" t="s">
        <v>417</v>
      </c>
      <c r="D34" s="352" t="s">
        <v>418</v>
      </c>
      <c r="E34" s="352" t="s">
        <v>548</v>
      </c>
      <c r="F34" s="352" t="s">
        <v>417</v>
      </c>
      <c r="G34" s="352" t="s">
        <v>418</v>
      </c>
      <c r="H34" s="352" t="s">
        <v>548</v>
      </c>
      <c r="I34" s="352" t="s">
        <v>417</v>
      </c>
      <c r="J34" s="352" t="s">
        <v>418</v>
      </c>
      <c r="K34" s="352" t="s">
        <v>548</v>
      </c>
    </row>
    <row r="35" spans="1:11" ht="94.5" hidden="1" x14ac:dyDescent="0.2">
      <c r="A35" s="373"/>
      <c r="B35" s="373"/>
      <c r="C35" s="352" t="s">
        <v>73</v>
      </c>
      <c r="D35" s="352" t="s">
        <v>74</v>
      </c>
      <c r="E35" s="352" t="s">
        <v>75</v>
      </c>
      <c r="F35" s="352" t="s">
        <v>73</v>
      </c>
      <c r="G35" s="352" t="s">
        <v>74</v>
      </c>
      <c r="H35" s="352" t="s">
        <v>75</v>
      </c>
      <c r="I35" s="352" t="s">
        <v>73</v>
      </c>
      <c r="J35" s="352" t="s">
        <v>74</v>
      </c>
      <c r="K35" s="352" t="s">
        <v>75</v>
      </c>
    </row>
    <row r="36" spans="1:11" ht="15.75" hidden="1" x14ac:dyDescent="0.2">
      <c r="A36" s="352">
        <v>1</v>
      </c>
      <c r="B36" s="352">
        <v>2</v>
      </c>
      <c r="C36" s="352">
        <v>3</v>
      </c>
      <c r="D36" s="352">
        <v>4</v>
      </c>
      <c r="E36" s="352">
        <v>5</v>
      </c>
      <c r="F36" s="352">
        <v>6</v>
      </c>
      <c r="G36" s="352">
        <v>7</v>
      </c>
      <c r="H36" s="352">
        <v>8</v>
      </c>
      <c r="I36" s="352">
        <v>9</v>
      </c>
      <c r="J36" s="352">
        <v>10</v>
      </c>
      <c r="K36" s="352">
        <v>11</v>
      </c>
    </row>
    <row r="37" spans="1:11" ht="23.25" hidden="1" customHeight="1" x14ac:dyDescent="0.2">
      <c r="A37" s="101" t="s">
        <v>422</v>
      </c>
      <c r="B37" s="352">
        <v>1</v>
      </c>
      <c r="C37" s="17"/>
      <c r="D37" s="17"/>
      <c r="E37" s="17"/>
      <c r="F37" s="351"/>
      <c r="G37" s="351"/>
      <c r="H37" s="351"/>
      <c r="I37" s="351"/>
      <c r="J37" s="351"/>
      <c r="K37" s="351"/>
    </row>
    <row r="38" spans="1:11" ht="15.75" hidden="1" x14ac:dyDescent="0.2">
      <c r="A38" s="17" t="s">
        <v>133</v>
      </c>
      <c r="B38" s="352">
        <v>9000</v>
      </c>
      <c r="C38" s="352" t="s">
        <v>11</v>
      </c>
      <c r="D38" s="352" t="s">
        <v>11</v>
      </c>
      <c r="E38" s="352" t="s">
        <v>11</v>
      </c>
      <c r="F38" s="100" t="s">
        <v>11</v>
      </c>
      <c r="G38" s="100" t="s">
        <v>11</v>
      </c>
      <c r="H38" s="100" t="s">
        <v>11</v>
      </c>
      <c r="I38" s="353">
        <f>SUM(I37:I37)</f>
        <v>0</v>
      </c>
      <c r="J38" s="353">
        <f>SUM(J37:J37)</f>
        <v>0</v>
      </c>
      <c r="K38" s="353">
        <f>SUM(K37:K37)</f>
        <v>0</v>
      </c>
    </row>
    <row r="39" spans="1:11" ht="15.75" hidden="1" x14ac:dyDescent="0.2">
      <c r="A39" s="90"/>
      <c r="B39" s="67"/>
      <c r="C39" s="67"/>
      <c r="D39" s="67"/>
      <c r="E39" s="67"/>
      <c r="F39" s="102"/>
      <c r="G39" s="102"/>
      <c r="H39" s="102"/>
      <c r="I39" s="71"/>
      <c r="J39" s="71"/>
      <c r="K39" s="71"/>
    </row>
    <row r="40" spans="1:11" ht="15.75" hidden="1" x14ac:dyDescent="0.2">
      <c r="A40" s="90"/>
      <c r="B40" s="67"/>
      <c r="C40" s="67"/>
      <c r="D40" s="67"/>
      <c r="E40" s="67"/>
      <c r="F40" s="102"/>
      <c r="G40" s="102"/>
      <c r="H40" s="102"/>
      <c r="I40" s="71"/>
      <c r="J40" s="71"/>
      <c r="K40" s="71"/>
    </row>
    <row r="41" spans="1:11" ht="6" hidden="1" customHeight="1" x14ac:dyDescent="0.2">
      <c r="A41" s="90"/>
      <c r="B41" s="67"/>
      <c r="C41" s="67"/>
      <c r="D41" s="67"/>
      <c r="E41" s="67"/>
      <c r="F41" s="102"/>
      <c r="G41" s="102"/>
      <c r="H41" s="102"/>
      <c r="I41" s="71"/>
      <c r="J41" s="71"/>
      <c r="K41" s="71"/>
    </row>
    <row r="42" spans="1:11" ht="15.75" hidden="1" x14ac:dyDescent="0.2">
      <c r="A42" s="90"/>
      <c r="B42" s="67"/>
      <c r="C42" s="67"/>
      <c r="D42" s="67"/>
      <c r="E42" s="67"/>
      <c r="F42" s="102"/>
      <c r="G42" s="102"/>
      <c r="H42" s="102"/>
      <c r="I42" s="71"/>
      <c r="J42" s="71"/>
      <c r="K42" s="71"/>
    </row>
    <row r="43" spans="1:11" ht="6" hidden="1" customHeight="1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</row>
    <row r="44" spans="1:11" ht="8.25" customHeight="1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</row>
    <row r="45" spans="1:11" ht="15.75" hidden="1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</row>
    <row r="46" spans="1:11" ht="15.75" x14ac:dyDescent="0.25">
      <c r="A46" s="96" t="s">
        <v>354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</row>
    <row r="47" spans="1:11" ht="15.75" x14ac:dyDescent="0.2">
      <c r="A47" s="373" t="s">
        <v>215</v>
      </c>
      <c r="B47" s="373" t="s">
        <v>1</v>
      </c>
      <c r="C47" s="373" t="s">
        <v>337</v>
      </c>
      <c r="D47" s="373"/>
      <c r="E47" s="373"/>
      <c r="F47" s="373" t="s">
        <v>338</v>
      </c>
      <c r="G47" s="373"/>
      <c r="H47" s="373"/>
      <c r="I47" s="373" t="s">
        <v>113</v>
      </c>
      <c r="J47" s="373"/>
      <c r="K47" s="373"/>
    </row>
    <row r="48" spans="1:11" ht="15.75" x14ac:dyDescent="0.2">
      <c r="A48" s="373"/>
      <c r="B48" s="373"/>
      <c r="C48" s="352" t="s">
        <v>418</v>
      </c>
      <c r="D48" s="352" t="s">
        <v>548</v>
      </c>
      <c r="E48" s="352" t="s">
        <v>583</v>
      </c>
      <c r="F48" s="352" t="s">
        <v>418</v>
      </c>
      <c r="G48" s="352" t="s">
        <v>548</v>
      </c>
      <c r="H48" s="352" t="s">
        <v>583</v>
      </c>
      <c r="I48" s="352" t="s">
        <v>418</v>
      </c>
      <c r="J48" s="352" t="s">
        <v>548</v>
      </c>
      <c r="K48" s="352" t="s">
        <v>583</v>
      </c>
    </row>
    <row r="49" spans="1:11" ht="47.25" x14ac:dyDescent="0.2">
      <c r="A49" s="373"/>
      <c r="B49" s="373"/>
      <c r="C49" s="352" t="s">
        <v>73</v>
      </c>
      <c r="D49" s="352" t="s">
        <v>74</v>
      </c>
      <c r="E49" s="352" t="s">
        <v>75</v>
      </c>
      <c r="F49" s="352" t="s">
        <v>73</v>
      </c>
      <c r="G49" s="352" t="s">
        <v>74</v>
      </c>
      <c r="H49" s="352" t="s">
        <v>75</v>
      </c>
      <c r="I49" s="352" t="s">
        <v>73</v>
      </c>
      <c r="J49" s="352" t="s">
        <v>74</v>
      </c>
      <c r="K49" s="352" t="s">
        <v>75</v>
      </c>
    </row>
    <row r="50" spans="1:11" ht="15.75" x14ac:dyDescent="0.2">
      <c r="A50" s="352">
        <v>1</v>
      </c>
      <c r="B50" s="352">
        <v>2</v>
      </c>
      <c r="C50" s="352">
        <v>3</v>
      </c>
      <c r="D50" s="352">
        <v>4</v>
      </c>
      <c r="E50" s="352">
        <v>5</v>
      </c>
      <c r="F50" s="352">
        <v>6</v>
      </c>
      <c r="G50" s="352">
        <v>7</v>
      </c>
      <c r="H50" s="352">
        <v>8</v>
      </c>
      <c r="I50" s="352">
        <v>9</v>
      </c>
      <c r="J50" s="352">
        <v>10</v>
      </c>
      <c r="K50" s="352">
        <v>11</v>
      </c>
    </row>
    <row r="51" spans="1:11" ht="47.25" hidden="1" x14ac:dyDescent="0.2">
      <c r="A51" s="103" t="s">
        <v>392</v>
      </c>
      <c r="B51" s="352">
        <v>1</v>
      </c>
      <c r="C51" s="352"/>
      <c r="D51" s="352"/>
      <c r="E51" s="352"/>
      <c r="F51" s="69"/>
      <c r="G51" s="69"/>
      <c r="H51" s="69"/>
      <c r="I51" s="69"/>
      <c r="J51" s="69"/>
      <c r="K51" s="69"/>
    </row>
    <row r="52" spans="1:11" ht="31.5" hidden="1" x14ac:dyDescent="0.2">
      <c r="A52" s="103" t="s">
        <v>393</v>
      </c>
      <c r="B52" s="352">
        <v>2</v>
      </c>
      <c r="C52" s="352"/>
      <c r="D52" s="352"/>
      <c r="E52" s="352"/>
      <c r="F52" s="69"/>
      <c r="G52" s="69"/>
      <c r="H52" s="69"/>
      <c r="I52" s="69"/>
      <c r="J52" s="69"/>
      <c r="K52" s="69"/>
    </row>
    <row r="53" spans="1:11" ht="21.75" customHeight="1" x14ac:dyDescent="0.2">
      <c r="A53" s="17" t="s">
        <v>604</v>
      </c>
      <c r="B53" s="352">
        <v>3</v>
      </c>
      <c r="C53" s="352">
        <v>170</v>
      </c>
      <c r="D53" s="352">
        <v>170</v>
      </c>
      <c r="E53" s="352">
        <v>170</v>
      </c>
      <c r="F53" s="351">
        <f>I53/C53</f>
        <v>2583.5340588235294</v>
      </c>
      <c r="G53" s="351">
        <f t="shared" ref="G53:H53" si="3">J53/D53</f>
        <v>2583.5340588235294</v>
      </c>
      <c r="H53" s="351">
        <f t="shared" si="3"/>
        <v>2583.5340588235294</v>
      </c>
      <c r="I53" s="70">
        <v>439200.79</v>
      </c>
      <c r="J53" s="70">
        <v>439200.79</v>
      </c>
      <c r="K53" s="70">
        <v>439200.79</v>
      </c>
    </row>
    <row r="54" spans="1:11" ht="22.5" customHeight="1" x14ac:dyDescent="0.2">
      <c r="A54" s="17" t="s">
        <v>133</v>
      </c>
      <c r="B54" s="352">
        <v>9000</v>
      </c>
      <c r="C54" s="352" t="s">
        <v>11</v>
      </c>
      <c r="D54" s="352" t="s">
        <v>11</v>
      </c>
      <c r="E54" s="352" t="s">
        <v>11</v>
      </c>
      <c r="F54" s="100" t="s">
        <v>11</v>
      </c>
      <c r="G54" s="100" t="s">
        <v>11</v>
      </c>
      <c r="H54" s="100" t="s">
        <v>11</v>
      </c>
      <c r="I54" s="180">
        <f>SUM(I51:I53)</f>
        <v>439200.79</v>
      </c>
      <c r="J54" s="180">
        <f>SUM(J51:J53)</f>
        <v>439200.79</v>
      </c>
      <c r="K54" s="180">
        <f>SUM(K51:K53)</f>
        <v>439200.79</v>
      </c>
    </row>
    <row r="55" spans="1:11" ht="6.75" customHeight="1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</row>
    <row r="56" spans="1:11" ht="15.75" hidden="1" x14ac:dyDescent="0.25">
      <c r="A56" s="96" t="s">
        <v>355</v>
      </c>
      <c r="B56" s="76"/>
      <c r="C56" s="66"/>
      <c r="D56" s="66"/>
      <c r="E56" s="66"/>
      <c r="F56" s="66"/>
      <c r="G56" s="66"/>
      <c r="H56" s="66"/>
      <c r="I56" s="66"/>
      <c r="J56" s="66"/>
      <c r="K56" s="66"/>
    </row>
    <row r="57" spans="1:11" ht="15.75" hidden="1" x14ac:dyDescent="0.2">
      <c r="A57" s="373" t="s">
        <v>215</v>
      </c>
      <c r="B57" s="373" t="s">
        <v>1</v>
      </c>
      <c r="C57" s="373" t="s">
        <v>337</v>
      </c>
      <c r="D57" s="373"/>
      <c r="E57" s="373"/>
      <c r="F57" s="373" t="s">
        <v>338</v>
      </c>
      <c r="G57" s="373"/>
      <c r="H57" s="373"/>
      <c r="I57" s="373" t="s">
        <v>113</v>
      </c>
      <c r="J57" s="373"/>
      <c r="K57" s="373"/>
    </row>
    <row r="58" spans="1:11" ht="31.5" hidden="1" x14ac:dyDescent="0.2">
      <c r="A58" s="373"/>
      <c r="B58" s="373"/>
      <c r="C58" s="352" t="s">
        <v>417</v>
      </c>
      <c r="D58" s="352" t="s">
        <v>418</v>
      </c>
      <c r="E58" s="352" t="s">
        <v>548</v>
      </c>
      <c r="F58" s="352" t="s">
        <v>417</v>
      </c>
      <c r="G58" s="352" t="s">
        <v>418</v>
      </c>
      <c r="H58" s="352" t="s">
        <v>548</v>
      </c>
      <c r="I58" s="352" t="s">
        <v>417</v>
      </c>
      <c r="J58" s="352" t="s">
        <v>418</v>
      </c>
      <c r="K58" s="352" t="s">
        <v>548</v>
      </c>
    </row>
    <row r="59" spans="1:11" ht="94.5" hidden="1" x14ac:dyDescent="0.2">
      <c r="A59" s="373"/>
      <c r="B59" s="373"/>
      <c r="C59" s="352" t="s">
        <v>73</v>
      </c>
      <c r="D59" s="352" t="s">
        <v>74</v>
      </c>
      <c r="E59" s="352" t="s">
        <v>75</v>
      </c>
      <c r="F59" s="352" t="s">
        <v>73</v>
      </c>
      <c r="G59" s="352" t="s">
        <v>74</v>
      </c>
      <c r="H59" s="352" t="s">
        <v>75</v>
      </c>
      <c r="I59" s="352" t="s">
        <v>73</v>
      </c>
      <c r="J59" s="352" t="s">
        <v>74</v>
      </c>
      <c r="K59" s="352" t="s">
        <v>75</v>
      </c>
    </row>
    <row r="60" spans="1:11" ht="15.75" hidden="1" x14ac:dyDescent="0.2">
      <c r="A60" s="352">
        <v>1</v>
      </c>
      <c r="B60" s="352">
        <v>2</v>
      </c>
      <c r="C60" s="352">
        <v>3</v>
      </c>
      <c r="D60" s="352">
        <v>4</v>
      </c>
      <c r="E60" s="352">
        <v>5</v>
      </c>
      <c r="F60" s="352">
        <v>6</v>
      </c>
      <c r="G60" s="352">
        <v>7</v>
      </c>
      <c r="H60" s="352">
        <v>8</v>
      </c>
      <c r="I60" s="352">
        <v>9</v>
      </c>
      <c r="J60" s="352">
        <v>10</v>
      </c>
      <c r="K60" s="352">
        <v>11</v>
      </c>
    </row>
    <row r="61" spans="1:11" ht="63" hidden="1" x14ac:dyDescent="0.2">
      <c r="A61" s="17" t="s">
        <v>499</v>
      </c>
      <c r="B61" s="352">
        <v>1</v>
      </c>
      <c r="C61" s="17"/>
      <c r="D61" s="17"/>
      <c r="E61" s="17"/>
      <c r="F61" s="351"/>
      <c r="G61" s="351"/>
      <c r="H61" s="351"/>
      <c r="I61" s="351"/>
      <c r="J61" s="351"/>
      <c r="K61" s="351"/>
    </row>
    <row r="62" spans="1:11" ht="18" hidden="1" customHeight="1" x14ac:dyDescent="0.2">
      <c r="A62" s="17" t="s">
        <v>133</v>
      </c>
      <c r="B62" s="352">
        <v>9000</v>
      </c>
      <c r="C62" s="352" t="s">
        <v>11</v>
      </c>
      <c r="D62" s="352" t="s">
        <v>11</v>
      </c>
      <c r="E62" s="352" t="s">
        <v>11</v>
      </c>
      <c r="F62" s="100" t="s">
        <v>11</v>
      </c>
      <c r="G62" s="100" t="s">
        <v>11</v>
      </c>
      <c r="H62" s="100" t="s">
        <v>11</v>
      </c>
      <c r="I62" s="353">
        <f>SUM(I61:I61)</f>
        <v>0</v>
      </c>
      <c r="J62" s="353">
        <f>SUM(J61:J61)</f>
        <v>0</v>
      </c>
      <c r="K62" s="353">
        <f>SUM(K61:K61)</f>
        <v>0</v>
      </c>
    </row>
    <row r="63" spans="1:11" ht="8.25" customHeight="1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</row>
    <row r="64" spans="1:11" ht="15.75" hidden="1" x14ac:dyDescent="0.25">
      <c r="A64" s="96" t="s">
        <v>510</v>
      </c>
      <c r="B64" s="76"/>
      <c r="C64" s="104"/>
      <c r="D64" s="104"/>
      <c r="E64" s="66"/>
      <c r="F64" s="66"/>
      <c r="G64" s="66"/>
      <c r="H64" s="66"/>
      <c r="I64" s="66"/>
      <c r="J64" s="66"/>
      <c r="K64" s="66"/>
    </row>
    <row r="65" spans="1:11" ht="21" hidden="1" customHeight="1" x14ac:dyDescent="0.2">
      <c r="A65" s="373" t="s">
        <v>215</v>
      </c>
      <c r="B65" s="373" t="s">
        <v>1</v>
      </c>
      <c r="C65" s="373" t="s">
        <v>337</v>
      </c>
      <c r="D65" s="373"/>
      <c r="E65" s="373"/>
      <c r="F65" s="373" t="s">
        <v>338</v>
      </c>
      <c r="G65" s="373"/>
      <c r="H65" s="373"/>
      <c r="I65" s="373" t="s">
        <v>113</v>
      </c>
      <c r="J65" s="373"/>
      <c r="K65" s="373"/>
    </row>
    <row r="66" spans="1:11" ht="15.75" hidden="1" customHeight="1" x14ac:dyDescent="0.2">
      <c r="A66" s="373"/>
      <c r="B66" s="373"/>
      <c r="C66" s="352" t="s">
        <v>417</v>
      </c>
      <c r="D66" s="352" t="s">
        <v>418</v>
      </c>
      <c r="E66" s="352" t="s">
        <v>548</v>
      </c>
      <c r="F66" s="352" t="s">
        <v>417</v>
      </c>
      <c r="G66" s="352" t="s">
        <v>418</v>
      </c>
      <c r="H66" s="352" t="s">
        <v>548</v>
      </c>
      <c r="I66" s="352" t="s">
        <v>417</v>
      </c>
      <c r="J66" s="352" t="s">
        <v>418</v>
      </c>
      <c r="K66" s="352" t="s">
        <v>548</v>
      </c>
    </row>
    <row r="67" spans="1:11" ht="94.5" hidden="1" x14ac:dyDescent="0.2">
      <c r="A67" s="373"/>
      <c r="B67" s="373"/>
      <c r="C67" s="352" t="s">
        <v>73</v>
      </c>
      <c r="D67" s="352" t="s">
        <v>74</v>
      </c>
      <c r="E67" s="352" t="s">
        <v>75</v>
      </c>
      <c r="F67" s="352" t="s">
        <v>73</v>
      </c>
      <c r="G67" s="352" t="s">
        <v>74</v>
      </c>
      <c r="H67" s="352" t="s">
        <v>75</v>
      </c>
      <c r="I67" s="352" t="s">
        <v>73</v>
      </c>
      <c r="J67" s="352" t="s">
        <v>74</v>
      </c>
      <c r="K67" s="352" t="s">
        <v>75</v>
      </c>
    </row>
    <row r="68" spans="1:11" ht="15.75" hidden="1" x14ac:dyDescent="0.2">
      <c r="A68" s="352">
        <v>1</v>
      </c>
      <c r="B68" s="352">
        <v>2</v>
      </c>
      <c r="C68" s="352">
        <v>3</v>
      </c>
      <c r="D68" s="352">
        <v>4</v>
      </c>
      <c r="E68" s="352">
        <v>5</v>
      </c>
      <c r="F68" s="352">
        <v>6</v>
      </c>
      <c r="G68" s="352">
        <v>7</v>
      </c>
      <c r="H68" s="352">
        <v>8</v>
      </c>
      <c r="I68" s="352">
        <v>9</v>
      </c>
      <c r="J68" s="352">
        <v>10</v>
      </c>
      <c r="K68" s="352">
        <v>11</v>
      </c>
    </row>
    <row r="69" spans="1:11" ht="24" hidden="1" customHeight="1" x14ac:dyDescent="0.2">
      <c r="A69" s="17" t="s">
        <v>499</v>
      </c>
      <c r="B69" s="352">
        <v>1</v>
      </c>
      <c r="C69" s="17"/>
      <c r="D69" s="17"/>
      <c r="E69" s="17"/>
      <c r="F69" s="351"/>
      <c r="G69" s="351"/>
      <c r="H69" s="351"/>
      <c r="I69" s="351"/>
      <c r="J69" s="351"/>
      <c r="K69" s="351"/>
    </row>
    <row r="70" spans="1:11" ht="21.75" hidden="1" customHeight="1" x14ac:dyDescent="0.2">
      <c r="A70" s="17" t="s">
        <v>133</v>
      </c>
      <c r="B70" s="352">
        <v>9000</v>
      </c>
      <c r="C70" s="352" t="s">
        <v>11</v>
      </c>
      <c r="D70" s="352" t="s">
        <v>11</v>
      </c>
      <c r="E70" s="352" t="s">
        <v>11</v>
      </c>
      <c r="F70" s="100" t="s">
        <v>11</v>
      </c>
      <c r="G70" s="100" t="s">
        <v>11</v>
      </c>
      <c r="H70" s="100" t="s">
        <v>11</v>
      </c>
      <c r="I70" s="353">
        <f>SUM(I69:I69)</f>
        <v>0</v>
      </c>
      <c r="J70" s="353">
        <f>SUM(J69:J69)</f>
        <v>0</v>
      </c>
      <c r="K70" s="353">
        <f>SUM(K69:K69)</f>
        <v>0</v>
      </c>
    </row>
    <row r="71" spans="1:11" ht="15.75" x14ac:dyDescent="0.25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</row>
    <row r="72" spans="1:11" ht="6.75" customHeight="1" x14ac:dyDescent="0.25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</row>
    <row r="73" spans="1:11" ht="15.75" x14ac:dyDescent="0.25">
      <c r="A73" s="96" t="s">
        <v>504</v>
      </c>
      <c r="B73" s="76"/>
      <c r="C73" s="104"/>
      <c r="D73" s="66"/>
      <c r="E73" s="66"/>
      <c r="F73" s="66"/>
      <c r="G73" s="66"/>
      <c r="H73" s="66"/>
      <c r="I73" s="66"/>
      <c r="J73" s="66"/>
      <c r="K73" s="66"/>
    </row>
    <row r="74" spans="1:11" ht="15.75" x14ac:dyDescent="0.2">
      <c r="A74" s="373" t="s">
        <v>215</v>
      </c>
      <c r="B74" s="373" t="s">
        <v>1</v>
      </c>
      <c r="C74" s="373" t="s">
        <v>337</v>
      </c>
      <c r="D74" s="373"/>
      <c r="E74" s="373"/>
      <c r="F74" s="373" t="s">
        <v>338</v>
      </c>
      <c r="G74" s="373"/>
      <c r="H74" s="373"/>
      <c r="I74" s="373" t="s">
        <v>113</v>
      </c>
      <c r="J74" s="373"/>
      <c r="K74" s="373"/>
    </row>
    <row r="75" spans="1:11" ht="15.75" x14ac:dyDescent="0.2">
      <c r="A75" s="373"/>
      <c r="B75" s="373"/>
      <c r="C75" s="352" t="s">
        <v>418</v>
      </c>
      <c r="D75" s="352" t="s">
        <v>548</v>
      </c>
      <c r="E75" s="352" t="s">
        <v>583</v>
      </c>
      <c r="F75" s="352" t="s">
        <v>418</v>
      </c>
      <c r="G75" s="352" t="s">
        <v>548</v>
      </c>
      <c r="H75" s="352" t="s">
        <v>583</v>
      </c>
      <c r="I75" s="352" t="s">
        <v>418</v>
      </c>
      <c r="J75" s="352" t="s">
        <v>548</v>
      </c>
      <c r="K75" s="352" t="s">
        <v>583</v>
      </c>
    </row>
    <row r="76" spans="1:11" ht="47.25" x14ac:dyDescent="0.2">
      <c r="A76" s="373"/>
      <c r="B76" s="373"/>
      <c r="C76" s="352" t="s">
        <v>73</v>
      </c>
      <c r="D76" s="352" t="s">
        <v>74</v>
      </c>
      <c r="E76" s="352" t="s">
        <v>75</v>
      </c>
      <c r="F76" s="352" t="s">
        <v>73</v>
      </c>
      <c r="G76" s="352" t="s">
        <v>74</v>
      </c>
      <c r="H76" s="352" t="s">
        <v>75</v>
      </c>
      <c r="I76" s="352" t="s">
        <v>73</v>
      </c>
      <c r="J76" s="352" t="s">
        <v>74</v>
      </c>
      <c r="K76" s="352" t="s">
        <v>75</v>
      </c>
    </row>
    <row r="77" spans="1:11" ht="15.75" x14ac:dyDescent="0.2">
      <c r="A77" s="352">
        <v>1</v>
      </c>
      <c r="B77" s="352">
        <v>2</v>
      </c>
      <c r="C77" s="352">
        <v>3</v>
      </c>
      <c r="D77" s="352">
        <v>4</v>
      </c>
      <c r="E77" s="352">
        <v>5</v>
      </c>
      <c r="F77" s="352">
        <v>6</v>
      </c>
      <c r="G77" s="352">
        <v>7</v>
      </c>
      <c r="H77" s="352">
        <v>8</v>
      </c>
      <c r="I77" s="352">
        <v>9</v>
      </c>
      <c r="J77" s="352">
        <v>10</v>
      </c>
      <c r="K77" s="352">
        <v>11</v>
      </c>
    </row>
    <row r="78" spans="1:11" ht="47.25" x14ac:dyDescent="0.2">
      <c r="A78" s="17" t="s">
        <v>505</v>
      </c>
      <c r="B78" s="352">
        <v>1</v>
      </c>
      <c r="C78" s="17">
        <v>0</v>
      </c>
      <c r="D78" s="17">
        <v>0</v>
      </c>
      <c r="E78" s="17">
        <v>1</v>
      </c>
      <c r="F78" s="351">
        <v>0</v>
      </c>
      <c r="G78" s="351">
        <v>0</v>
      </c>
      <c r="H78" s="351">
        <v>13700</v>
      </c>
      <c r="I78" s="351">
        <v>0</v>
      </c>
      <c r="J78" s="351">
        <v>13700</v>
      </c>
      <c r="K78" s="351">
        <v>0</v>
      </c>
    </row>
    <row r="79" spans="1:11" ht="18.75" customHeight="1" x14ac:dyDescent="0.2">
      <c r="A79" s="17" t="s">
        <v>133</v>
      </c>
      <c r="B79" s="352">
        <v>9000</v>
      </c>
      <c r="C79" s="352" t="s">
        <v>11</v>
      </c>
      <c r="D79" s="352" t="s">
        <v>11</v>
      </c>
      <c r="E79" s="352" t="s">
        <v>11</v>
      </c>
      <c r="F79" s="100" t="s">
        <v>11</v>
      </c>
      <c r="G79" s="100" t="s">
        <v>11</v>
      </c>
      <c r="H79" s="100" t="s">
        <v>11</v>
      </c>
      <c r="I79" s="225">
        <f>SUM(I78:I78)</f>
        <v>0</v>
      </c>
      <c r="J79" s="225">
        <f>SUM(J78:J78)</f>
        <v>13700</v>
      </c>
      <c r="K79" s="225">
        <f>SUM(K78:K78)</f>
        <v>0</v>
      </c>
    </row>
    <row r="80" spans="1:11" ht="15.75" x14ac:dyDescent="0.25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</row>
    <row r="81" spans="1:11" ht="9" customHeight="1" x14ac:dyDescent="0.25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</row>
    <row r="82" spans="1:11" ht="0.75" customHeight="1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</row>
    <row r="83" spans="1:11" ht="15.75" hidden="1" x14ac:dyDescent="0.25">
      <c r="A83" s="96" t="s">
        <v>526</v>
      </c>
      <c r="B83" s="76"/>
      <c r="C83" s="104"/>
      <c r="D83" s="66"/>
      <c r="E83" s="66"/>
      <c r="F83" s="66"/>
      <c r="G83" s="66"/>
      <c r="H83" s="66"/>
      <c r="I83" s="66"/>
      <c r="J83" s="66"/>
      <c r="K83" s="66"/>
    </row>
    <row r="84" spans="1:11" ht="15.75" hidden="1" x14ac:dyDescent="0.2">
      <c r="A84" s="373" t="s">
        <v>215</v>
      </c>
      <c r="B84" s="373" t="s">
        <v>1</v>
      </c>
      <c r="C84" s="373" t="s">
        <v>337</v>
      </c>
      <c r="D84" s="373"/>
      <c r="E84" s="373"/>
      <c r="F84" s="373" t="s">
        <v>338</v>
      </c>
      <c r="G84" s="373"/>
      <c r="H84" s="373"/>
      <c r="I84" s="373" t="s">
        <v>113</v>
      </c>
      <c r="J84" s="373"/>
      <c r="K84" s="373"/>
    </row>
    <row r="85" spans="1:11" ht="31.5" hidden="1" x14ac:dyDescent="0.2">
      <c r="A85" s="373"/>
      <c r="B85" s="373"/>
      <c r="C85" s="352" t="s">
        <v>417</v>
      </c>
      <c r="D85" s="352" t="s">
        <v>418</v>
      </c>
      <c r="E85" s="352" t="s">
        <v>548</v>
      </c>
      <c r="F85" s="352" t="s">
        <v>417</v>
      </c>
      <c r="G85" s="352" t="s">
        <v>418</v>
      </c>
      <c r="H85" s="352" t="s">
        <v>548</v>
      </c>
      <c r="I85" s="352" t="s">
        <v>417</v>
      </c>
      <c r="J85" s="352" t="s">
        <v>418</v>
      </c>
      <c r="K85" s="352" t="s">
        <v>548</v>
      </c>
    </row>
    <row r="86" spans="1:11" ht="94.5" hidden="1" x14ac:dyDescent="0.2">
      <c r="A86" s="373"/>
      <c r="B86" s="373"/>
      <c r="C86" s="352" t="s">
        <v>73</v>
      </c>
      <c r="D86" s="352" t="s">
        <v>74</v>
      </c>
      <c r="E86" s="352" t="s">
        <v>75</v>
      </c>
      <c r="F86" s="352" t="s">
        <v>73</v>
      </c>
      <c r="G86" s="352" t="s">
        <v>74</v>
      </c>
      <c r="H86" s="352" t="s">
        <v>75</v>
      </c>
      <c r="I86" s="352" t="s">
        <v>73</v>
      </c>
      <c r="J86" s="352" t="s">
        <v>74</v>
      </c>
      <c r="K86" s="352" t="s">
        <v>75</v>
      </c>
    </row>
    <row r="87" spans="1:11" ht="15.75" hidden="1" x14ac:dyDescent="0.2">
      <c r="A87" s="352">
        <v>1</v>
      </c>
      <c r="B87" s="352">
        <v>2</v>
      </c>
      <c r="C87" s="352">
        <v>3</v>
      </c>
      <c r="D87" s="352">
        <v>4</v>
      </c>
      <c r="E87" s="352">
        <v>5</v>
      </c>
      <c r="F87" s="352">
        <v>6</v>
      </c>
      <c r="G87" s="352">
        <v>7</v>
      </c>
      <c r="H87" s="352">
        <v>8</v>
      </c>
      <c r="I87" s="352">
        <v>9</v>
      </c>
      <c r="J87" s="352">
        <v>10</v>
      </c>
      <c r="K87" s="352">
        <v>11</v>
      </c>
    </row>
    <row r="88" spans="1:11" ht="15.75" hidden="1" x14ac:dyDescent="0.2">
      <c r="A88" s="159" t="s">
        <v>547</v>
      </c>
      <c r="B88" s="352">
        <v>1</v>
      </c>
      <c r="C88" s="69"/>
      <c r="D88" s="352"/>
      <c r="E88" s="352"/>
      <c r="F88" s="70"/>
      <c r="G88" s="352"/>
      <c r="H88" s="352"/>
      <c r="I88" s="70"/>
      <c r="J88" s="352"/>
      <c r="K88" s="352"/>
    </row>
    <row r="89" spans="1:11" ht="63" hidden="1" x14ac:dyDescent="0.2">
      <c r="A89" s="17" t="s">
        <v>525</v>
      </c>
      <c r="B89" s="352">
        <v>2</v>
      </c>
      <c r="C89" s="17"/>
      <c r="D89" s="17"/>
      <c r="E89" s="17"/>
      <c r="F89" s="351"/>
      <c r="G89" s="351"/>
      <c r="H89" s="351"/>
      <c r="I89" s="351"/>
      <c r="J89" s="351"/>
      <c r="K89" s="351"/>
    </row>
    <row r="90" spans="1:11" ht="15.75" hidden="1" x14ac:dyDescent="0.2">
      <c r="A90" s="17" t="s">
        <v>133</v>
      </c>
      <c r="B90" s="352">
        <v>9000</v>
      </c>
      <c r="C90" s="352" t="s">
        <v>11</v>
      </c>
      <c r="D90" s="352" t="s">
        <v>11</v>
      </c>
      <c r="E90" s="352" t="s">
        <v>11</v>
      </c>
      <c r="F90" s="100" t="s">
        <v>11</v>
      </c>
      <c r="G90" s="100" t="s">
        <v>11</v>
      </c>
      <c r="H90" s="100" t="s">
        <v>11</v>
      </c>
      <c r="I90" s="353">
        <f>SUM(I89:I89)+I88</f>
        <v>0</v>
      </c>
      <c r="J90" s="353">
        <f>SUM(J89:J89)</f>
        <v>0</v>
      </c>
      <c r="K90" s="353">
        <f>SUM(K89:K89)</f>
        <v>0</v>
      </c>
    </row>
    <row r="91" spans="1:11" ht="15.75" x14ac:dyDescent="0.25">
      <c r="A91" s="96" t="s">
        <v>567</v>
      </c>
      <c r="B91" s="104"/>
      <c r="C91" s="104"/>
      <c r="D91" s="104"/>
      <c r="E91" s="66"/>
      <c r="F91" s="66"/>
      <c r="G91" s="66"/>
      <c r="H91" s="66"/>
      <c r="I91" s="66"/>
      <c r="J91" s="66"/>
      <c r="K91" s="66"/>
    </row>
    <row r="92" spans="1:11" ht="15.75" x14ac:dyDescent="0.2">
      <c r="A92" s="373" t="s">
        <v>215</v>
      </c>
      <c r="B92" s="373" t="s">
        <v>1</v>
      </c>
      <c r="C92" s="373" t="s">
        <v>337</v>
      </c>
      <c r="D92" s="373"/>
      <c r="E92" s="373"/>
      <c r="F92" s="373" t="s">
        <v>338</v>
      </c>
      <c r="G92" s="373"/>
      <c r="H92" s="373"/>
      <c r="I92" s="373" t="s">
        <v>113</v>
      </c>
      <c r="J92" s="373"/>
      <c r="K92" s="373"/>
    </row>
    <row r="93" spans="1:11" ht="15.75" x14ac:dyDescent="0.2">
      <c r="A93" s="373"/>
      <c r="B93" s="373"/>
      <c r="C93" s="352" t="s">
        <v>418</v>
      </c>
      <c r="D93" s="352" t="s">
        <v>548</v>
      </c>
      <c r="E93" s="352" t="s">
        <v>583</v>
      </c>
      <c r="F93" s="352" t="s">
        <v>418</v>
      </c>
      <c r="G93" s="352" t="s">
        <v>548</v>
      </c>
      <c r="H93" s="352" t="s">
        <v>583</v>
      </c>
      <c r="I93" s="352" t="s">
        <v>418</v>
      </c>
      <c r="J93" s="352" t="s">
        <v>548</v>
      </c>
      <c r="K93" s="352" t="s">
        <v>583</v>
      </c>
    </row>
    <row r="94" spans="1:11" ht="47.25" x14ac:dyDescent="0.2">
      <c r="A94" s="373"/>
      <c r="B94" s="373"/>
      <c r="C94" s="352" t="s">
        <v>73</v>
      </c>
      <c r="D94" s="352" t="s">
        <v>74</v>
      </c>
      <c r="E94" s="352" t="s">
        <v>75</v>
      </c>
      <c r="F94" s="352" t="s">
        <v>73</v>
      </c>
      <c r="G94" s="352" t="s">
        <v>74</v>
      </c>
      <c r="H94" s="352" t="s">
        <v>75</v>
      </c>
      <c r="I94" s="352" t="s">
        <v>73</v>
      </c>
      <c r="J94" s="352" t="s">
        <v>74</v>
      </c>
      <c r="K94" s="352" t="s">
        <v>75</v>
      </c>
    </row>
    <row r="95" spans="1:11" ht="15.75" x14ac:dyDescent="0.2">
      <c r="A95" s="352">
        <v>1</v>
      </c>
      <c r="B95" s="352">
        <v>2</v>
      </c>
      <c r="C95" s="352">
        <v>3</v>
      </c>
      <c r="D95" s="352">
        <v>4</v>
      </c>
      <c r="E95" s="352">
        <v>5</v>
      </c>
      <c r="F95" s="352">
        <v>6</v>
      </c>
      <c r="G95" s="352">
        <v>7</v>
      </c>
      <c r="H95" s="352">
        <v>8</v>
      </c>
      <c r="I95" s="352">
        <v>9</v>
      </c>
      <c r="J95" s="352">
        <v>10</v>
      </c>
      <c r="K95" s="352">
        <v>11</v>
      </c>
    </row>
    <row r="96" spans="1:11" ht="15.75" x14ac:dyDescent="0.2">
      <c r="A96" s="17" t="s">
        <v>604</v>
      </c>
      <c r="B96" s="352">
        <v>3</v>
      </c>
      <c r="C96" s="352">
        <v>9</v>
      </c>
      <c r="D96" s="352">
        <v>0</v>
      </c>
      <c r="E96" s="352">
        <v>0</v>
      </c>
      <c r="F96" s="351">
        <v>5242.96</v>
      </c>
      <c r="G96" s="351">
        <v>0</v>
      </c>
      <c r="H96" s="351">
        <v>0</v>
      </c>
      <c r="I96" s="70">
        <v>47186.64</v>
      </c>
      <c r="J96" s="70"/>
      <c r="K96" s="70">
        <v>0</v>
      </c>
    </row>
    <row r="97" spans="1:11" ht="15.75" x14ac:dyDescent="0.2">
      <c r="A97" s="17" t="s">
        <v>133</v>
      </c>
      <c r="B97" s="352">
        <v>9000</v>
      </c>
      <c r="C97" s="352" t="s">
        <v>11</v>
      </c>
      <c r="D97" s="352" t="s">
        <v>11</v>
      </c>
      <c r="E97" s="352" t="s">
        <v>11</v>
      </c>
      <c r="F97" s="100" t="s">
        <v>11</v>
      </c>
      <c r="G97" s="100" t="s">
        <v>11</v>
      </c>
      <c r="H97" s="100" t="s">
        <v>11</v>
      </c>
      <c r="I97" s="180">
        <f>SUM(I96:I96)</f>
        <v>47186.64</v>
      </c>
      <c r="J97" s="180">
        <f>SUM(J96:J96)</f>
        <v>0</v>
      </c>
      <c r="K97" s="180">
        <f>SUM(K96:K96)</f>
        <v>0</v>
      </c>
    </row>
    <row r="104" spans="1:11" ht="18.75" x14ac:dyDescent="0.3">
      <c r="I104" s="32">
        <f>I97+I79+I54+I13</f>
        <v>2361167.4300000002</v>
      </c>
      <c r="J104" s="32">
        <f t="shared" ref="J104:K104" si="4">J97+J79+J54+J13</f>
        <v>2327680.79</v>
      </c>
      <c r="K104" s="32">
        <f t="shared" si="4"/>
        <v>2313980.79</v>
      </c>
    </row>
  </sheetData>
  <mergeCells count="50">
    <mergeCell ref="A84:A86"/>
    <mergeCell ref="B84:B86"/>
    <mergeCell ref="C84:E84"/>
    <mergeCell ref="F84:H84"/>
    <mergeCell ref="I84:K84"/>
    <mergeCell ref="A4:A6"/>
    <mergeCell ref="B4:B6"/>
    <mergeCell ref="C4:E4"/>
    <mergeCell ref="F4:H4"/>
    <mergeCell ref="I4:K4"/>
    <mergeCell ref="A16:A18"/>
    <mergeCell ref="B16:B18"/>
    <mergeCell ref="C16:E16"/>
    <mergeCell ref="F16:H16"/>
    <mergeCell ref="I47:K47"/>
    <mergeCell ref="A33:A35"/>
    <mergeCell ref="B33:B35"/>
    <mergeCell ref="C33:E33"/>
    <mergeCell ref="F33:H33"/>
    <mergeCell ref="A57:A59"/>
    <mergeCell ref="B57:B59"/>
    <mergeCell ref="C57:E57"/>
    <mergeCell ref="F57:H57"/>
    <mergeCell ref="I16:K16"/>
    <mergeCell ref="I33:K33"/>
    <mergeCell ref="A25:A27"/>
    <mergeCell ref="B25:B27"/>
    <mergeCell ref="C25:E25"/>
    <mergeCell ref="F25:H25"/>
    <mergeCell ref="I57:K57"/>
    <mergeCell ref="A47:A49"/>
    <mergeCell ref="B47:B49"/>
    <mergeCell ref="C47:E47"/>
    <mergeCell ref="F47:H47"/>
    <mergeCell ref="I25:K25"/>
    <mergeCell ref="I65:K65"/>
    <mergeCell ref="A65:A67"/>
    <mergeCell ref="B65:B67"/>
    <mergeCell ref="C65:E65"/>
    <mergeCell ref="F65:H65"/>
    <mergeCell ref="A74:A76"/>
    <mergeCell ref="B74:B76"/>
    <mergeCell ref="C74:E74"/>
    <mergeCell ref="F74:H74"/>
    <mergeCell ref="I74:K74"/>
    <mergeCell ref="A92:A94"/>
    <mergeCell ref="B92:B94"/>
    <mergeCell ref="C92:E92"/>
    <mergeCell ref="F92:H92"/>
    <mergeCell ref="I92:K9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K174"/>
  <sheetViews>
    <sheetView topLeftCell="A133" workbookViewId="0">
      <selection activeCell="I172" sqref="I172"/>
    </sheetView>
  </sheetViews>
  <sheetFormatPr defaultRowHeight="12.75" x14ac:dyDescent="0.2"/>
  <cols>
    <col min="1" max="1" width="23" style="3" customWidth="1"/>
    <col min="2" max="2" width="9.140625" style="3" customWidth="1"/>
    <col min="3" max="8" width="14.5703125" style="3" customWidth="1"/>
    <col min="9" max="9" width="16.7109375" style="3" customWidth="1"/>
    <col min="10" max="10" width="17.140625" style="3" customWidth="1"/>
    <col min="11" max="11" width="18" style="3" customWidth="1"/>
    <col min="12" max="16384" width="9.140625" style="3"/>
  </cols>
  <sheetData>
    <row r="1" spans="1:11" ht="15.75" x14ac:dyDescent="0.25">
      <c r="A1" s="66" t="s">
        <v>339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15.75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15.75" x14ac:dyDescent="0.25">
      <c r="A3" s="76" t="s">
        <v>451</v>
      </c>
      <c r="B3" s="104"/>
      <c r="C3" s="66"/>
      <c r="D3" s="66"/>
      <c r="E3" s="66"/>
      <c r="F3" s="66"/>
      <c r="G3" s="66"/>
      <c r="H3" s="66"/>
      <c r="I3" s="66"/>
      <c r="J3" s="66"/>
      <c r="K3" s="66"/>
    </row>
    <row r="4" spans="1:11" ht="15.75" x14ac:dyDescent="0.2">
      <c r="A4" s="373" t="s">
        <v>215</v>
      </c>
      <c r="B4" s="373" t="s">
        <v>1</v>
      </c>
      <c r="C4" s="373" t="s">
        <v>337</v>
      </c>
      <c r="D4" s="373"/>
      <c r="E4" s="373"/>
      <c r="F4" s="373" t="s">
        <v>338</v>
      </c>
      <c r="G4" s="373"/>
      <c r="H4" s="373"/>
      <c r="I4" s="373" t="s">
        <v>113</v>
      </c>
      <c r="J4" s="373"/>
      <c r="K4" s="373"/>
    </row>
    <row r="5" spans="1:11" ht="20.25" customHeight="1" x14ac:dyDescent="0.2">
      <c r="A5" s="373"/>
      <c r="B5" s="373"/>
      <c r="C5" s="352" t="s">
        <v>418</v>
      </c>
      <c r="D5" s="352" t="s">
        <v>548</v>
      </c>
      <c r="E5" s="352" t="s">
        <v>583</v>
      </c>
      <c r="F5" s="352" t="s">
        <v>418</v>
      </c>
      <c r="G5" s="352" t="s">
        <v>548</v>
      </c>
      <c r="H5" s="352" t="s">
        <v>583</v>
      </c>
      <c r="I5" s="352" t="s">
        <v>418</v>
      </c>
      <c r="J5" s="352" t="s">
        <v>548</v>
      </c>
      <c r="K5" s="352" t="s">
        <v>583</v>
      </c>
    </row>
    <row r="6" spans="1:11" ht="52.5" customHeight="1" x14ac:dyDescent="0.2">
      <c r="A6" s="373"/>
      <c r="B6" s="373"/>
      <c r="C6" s="352" t="s">
        <v>73</v>
      </c>
      <c r="D6" s="352" t="s">
        <v>74</v>
      </c>
      <c r="E6" s="352" t="s">
        <v>75</v>
      </c>
      <c r="F6" s="352" t="s">
        <v>73</v>
      </c>
      <c r="G6" s="352" t="s">
        <v>74</v>
      </c>
      <c r="H6" s="352" t="s">
        <v>75</v>
      </c>
      <c r="I6" s="352" t="s">
        <v>73</v>
      </c>
      <c r="J6" s="352" t="s">
        <v>74</v>
      </c>
      <c r="K6" s="352" t="s">
        <v>75</v>
      </c>
    </row>
    <row r="7" spans="1:11" ht="21" customHeight="1" x14ac:dyDescent="0.2">
      <c r="A7" s="352">
        <v>1</v>
      </c>
      <c r="B7" s="352">
        <v>2</v>
      </c>
      <c r="C7" s="352">
        <v>3</v>
      </c>
      <c r="D7" s="352">
        <v>4</v>
      </c>
      <c r="E7" s="352">
        <v>5</v>
      </c>
      <c r="F7" s="352">
        <v>6</v>
      </c>
      <c r="G7" s="352">
        <v>7</v>
      </c>
      <c r="H7" s="352">
        <v>8</v>
      </c>
      <c r="I7" s="352">
        <v>9</v>
      </c>
      <c r="J7" s="352">
        <v>10</v>
      </c>
      <c r="K7" s="352">
        <v>11</v>
      </c>
    </row>
    <row r="8" spans="1:11" ht="30.75" customHeight="1" x14ac:dyDescent="0.25">
      <c r="A8" s="77" t="s">
        <v>394</v>
      </c>
      <c r="B8" s="352">
        <v>1</v>
      </c>
      <c r="C8" s="17">
        <v>10</v>
      </c>
      <c r="D8" s="17">
        <v>10</v>
      </c>
      <c r="E8" s="17">
        <v>10</v>
      </c>
      <c r="F8" s="351">
        <v>1000</v>
      </c>
      <c r="G8" s="351">
        <v>1000</v>
      </c>
      <c r="H8" s="351">
        <v>1000</v>
      </c>
      <c r="I8" s="105">
        <f t="shared" ref="I8:K13" si="0">C8*F8</f>
        <v>10000</v>
      </c>
      <c r="J8" s="105">
        <f t="shared" si="0"/>
        <v>10000</v>
      </c>
      <c r="K8" s="105">
        <f t="shared" si="0"/>
        <v>10000</v>
      </c>
    </row>
    <row r="9" spans="1:11" ht="27" customHeight="1" x14ac:dyDescent="0.25">
      <c r="A9" s="77" t="s">
        <v>395</v>
      </c>
      <c r="B9" s="352">
        <v>2</v>
      </c>
      <c r="C9" s="17">
        <v>50</v>
      </c>
      <c r="D9" s="17">
        <v>50</v>
      </c>
      <c r="E9" s="17">
        <v>50</v>
      </c>
      <c r="F9" s="351">
        <v>400</v>
      </c>
      <c r="G9" s="351">
        <v>400</v>
      </c>
      <c r="H9" s="351">
        <v>400</v>
      </c>
      <c r="I9" s="105">
        <f t="shared" si="0"/>
        <v>20000</v>
      </c>
      <c r="J9" s="105">
        <f t="shared" si="0"/>
        <v>20000</v>
      </c>
      <c r="K9" s="105">
        <f t="shared" si="0"/>
        <v>20000</v>
      </c>
    </row>
    <row r="10" spans="1:11" ht="35.25" customHeight="1" x14ac:dyDescent="0.25">
      <c r="A10" s="77" t="s">
        <v>396</v>
      </c>
      <c r="B10" s="352">
        <v>3</v>
      </c>
      <c r="C10" s="17">
        <v>50</v>
      </c>
      <c r="D10" s="17">
        <v>50</v>
      </c>
      <c r="E10" s="17">
        <v>50</v>
      </c>
      <c r="F10" s="351">
        <v>400</v>
      </c>
      <c r="G10" s="351">
        <v>400</v>
      </c>
      <c r="H10" s="351">
        <v>400</v>
      </c>
      <c r="I10" s="105">
        <f t="shared" si="0"/>
        <v>20000</v>
      </c>
      <c r="J10" s="105">
        <f t="shared" si="0"/>
        <v>20000</v>
      </c>
      <c r="K10" s="105">
        <f t="shared" si="0"/>
        <v>20000</v>
      </c>
    </row>
    <row r="11" spans="1:11" ht="27" customHeight="1" x14ac:dyDescent="0.25">
      <c r="A11" s="77" t="s">
        <v>397</v>
      </c>
      <c r="B11" s="352">
        <v>4</v>
      </c>
      <c r="C11" s="17">
        <v>150</v>
      </c>
      <c r="D11" s="17">
        <v>150</v>
      </c>
      <c r="E11" s="17">
        <v>150</v>
      </c>
      <c r="F11" s="351">
        <f>I11/C11</f>
        <v>793.7432</v>
      </c>
      <c r="G11" s="351">
        <f t="shared" ref="G11:H11" si="1">J11/D11</f>
        <v>793.7432</v>
      </c>
      <c r="H11" s="351">
        <f t="shared" si="1"/>
        <v>793.7432</v>
      </c>
      <c r="I11" s="105">
        <f>119041.48+20</f>
        <v>119061.48</v>
      </c>
      <c r="J11" s="105">
        <f>119041.48+20</f>
        <v>119061.48</v>
      </c>
      <c r="K11" s="105">
        <f>119041.48+20</f>
        <v>119061.48</v>
      </c>
    </row>
    <row r="12" spans="1:11" ht="27.75" hidden="1" customHeight="1" x14ac:dyDescent="0.25">
      <c r="A12" s="77" t="s">
        <v>527</v>
      </c>
      <c r="B12" s="352">
        <v>5</v>
      </c>
      <c r="C12" s="17"/>
      <c r="D12" s="17"/>
      <c r="E12" s="17"/>
      <c r="F12" s="351"/>
      <c r="G12" s="351"/>
      <c r="H12" s="351"/>
      <c r="I12" s="105">
        <f t="shared" si="0"/>
        <v>0</v>
      </c>
      <c r="J12" s="105"/>
      <c r="K12" s="105"/>
    </row>
    <row r="13" spans="1:11" ht="33.75" hidden="1" customHeight="1" x14ac:dyDescent="0.25">
      <c r="A13" s="77" t="s">
        <v>528</v>
      </c>
      <c r="B13" s="352">
        <v>6</v>
      </c>
      <c r="C13" s="17"/>
      <c r="D13" s="17"/>
      <c r="E13" s="17"/>
      <c r="F13" s="351"/>
      <c r="G13" s="351"/>
      <c r="H13" s="351"/>
      <c r="I13" s="105">
        <f t="shared" si="0"/>
        <v>0</v>
      </c>
      <c r="J13" s="105"/>
      <c r="K13" s="105"/>
    </row>
    <row r="14" spans="1:11" ht="28.5" customHeight="1" x14ac:dyDescent="0.2">
      <c r="A14" s="17" t="s">
        <v>133</v>
      </c>
      <c r="B14" s="352">
        <v>9000</v>
      </c>
      <c r="C14" s="352" t="s">
        <v>11</v>
      </c>
      <c r="D14" s="352" t="s">
        <v>11</v>
      </c>
      <c r="E14" s="352" t="s">
        <v>11</v>
      </c>
      <c r="F14" s="352" t="s">
        <v>11</v>
      </c>
      <c r="G14" s="352" t="s">
        <v>11</v>
      </c>
      <c r="H14" s="352" t="s">
        <v>11</v>
      </c>
      <c r="I14" s="225">
        <f>SUM(I8:I13)</f>
        <v>169061.47999999998</v>
      </c>
      <c r="J14" s="225">
        <f>SUM(J8:J11)</f>
        <v>169061.47999999998</v>
      </c>
      <c r="K14" s="225">
        <f>SUM(K8:K11)</f>
        <v>169061.47999999998</v>
      </c>
    </row>
    <row r="15" spans="1:11" ht="15.75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 ht="15.75" x14ac:dyDescent="0.25">
      <c r="A16" s="76" t="s">
        <v>300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ht="15.75" x14ac:dyDescent="0.2">
      <c r="A17" s="373" t="s">
        <v>215</v>
      </c>
      <c r="B17" s="373" t="s">
        <v>1</v>
      </c>
      <c r="C17" s="373" t="s">
        <v>337</v>
      </c>
      <c r="D17" s="373"/>
      <c r="E17" s="373"/>
      <c r="F17" s="373" t="s">
        <v>338</v>
      </c>
      <c r="G17" s="373"/>
      <c r="H17" s="373"/>
      <c r="I17" s="373" t="s">
        <v>113</v>
      </c>
      <c r="J17" s="373"/>
      <c r="K17" s="373"/>
    </row>
    <row r="18" spans="1:11" ht="15.75" x14ac:dyDescent="0.2">
      <c r="A18" s="373"/>
      <c r="B18" s="373"/>
      <c r="C18" s="352" t="s">
        <v>418</v>
      </c>
      <c r="D18" s="352" t="s">
        <v>548</v>
      </c>
      <c r="E18" s="352" t="s">
        <v>583</v>
      </c>
      <c r="F18" s="352" t="s">
        <v>418</v>
      </c>
      <c r="G18" s="352" t="s">
        <v>548</v>
      </c>
      <c r="H18" s="352" t="s">
        <v>583</v>
      </c>
      <c r="I18" s="352" t="s">
        <v>418</v>
      </c>
      <c r="J18" s="352" t="s">
        <v>548</v>
      </c>
      <c r="K18" s="352" t="s">
        <v>583</v>
      </c>
    </row>
    <row r="19" spans="1:11" ht="47.25" x14ac:dyDescent="0.2">
      <c r="A19" s="373"/>
      <c r="B19" s="373"/>
      <c r="C19" s="352" t="s">
        <v>73</v>
      </c>
      <c r="D19" s="352" t="s">
        <v>74</v>
      </c>
      <c r="E19" s="352" t="s">
        <v>75</v>
      </c>
      <c r="F19" s="352" t="s">
        <v>73</v>
      </c>
      <c r="G19" s="352" t="s">
        <v>74</v>
      </c>
      <c r="H19" s="352" t="s">
        <v>75</v>
      </c>
      <c r="I19" s="352" t="s">
        <v>73</v>
      </c>
      <c r="J19" s="352" t="s">
        <v>74</v>
      </c>
      <c r="K19" s="352" t="s">
        <v>75</v>
      </c>
    </row>
    <row r="20" spans="1:11" ht="15.75" x14ac:dyDescent="0.2">
      <c r="A20" s="352">
        <v>1</v>
      </c>
      <c r="B20" s="352">
        <v>2</v>
      </c>
      <c r="C20" s="352">
        <v>3</v>
      </c>
      <c r="D20" s="352">
        <v>4</v>
      </c>
      <c r="E20" s="352">
        <v>5</v>
      </c>
      <c r="F20" s="352">
        <v>6</v>
      </c>
      <c r="G20" s="352">
        <v>7</v>
      </c>
      <c r="H20" s="352">
        <v>8</v>
      </c>
      <c r="I20" s="352">
        <v>9</v>
      </c>
      <c r="J20" s="352">
        <v>10</v>
      </c>
      <c r="K20" s="352">
        <v>11</v>
      </c>
    </row>
    <row r="21" spans="1:11" ht="31.5" x14ac:dyDescent="0.25">
      <c r="A21" s="77" t="s">
        <v>398</v>
      </c>
      <c r="B21" s="352">
        <v>1</v>
      </c>
      <c r="C21" s="352">
        <v>50</v>
      </c>
      <c r="D21" s="352">
        <v>50</v>
      </c>
      <c r="E21" s="352">
        <v>50</v>
      </c>
      <c r="F21" s="352">
        <f>I21/C21</f>
        <v>800.4</v>
      </c>
      <c r="G21" s="352">
        <f t="shared" ref="G21:H21" si="2">J21/D21</f>
        <v>800.4</v>
      </c>
      <c r="H21" s="352">
        <f t="shared" si="2"/>
        <v>800.4</v>
      </c>
      <c r="I21" s="78">
        <v>40020</v>
      </c>
      <c r="J21" s="78">
        <v>40020</v>
      </c>
      <c r="K21" s="78">
        <v>40020</v>
      </c>
    </row>
    <row r="22" spans="1:11" ht="24" customHeight="1" x14ac:dyDescent="0.25">
      <c r="A22" s="77" t="s">
        <v>399</v>
      </c>
      <c r="B22" s="352">
        <v>2</v>
      </c>
      <c r="C22" s="352">
        <v>50</v>
      </c>
      <c r="D22" s="352">
        <v>50</v>
      </c>
      <c r="E22" s="352">
        <v>50</v>
      </c>
      <c r="F22" s="352">
        <v>200</v>
      </c>
      <c r="G22" s="352">
        <v>200</v>
      </c>
      <c r="H22" s="352">
        <v>200</v>
      </c>
      <c r="I22" s="78">
        <v>10000</v>
      </c>
      <c r="J22" s="78">
        <f t="shared" ref="J22:K24" si="3">D22*G22</f>
        <v>10000</v>
      </c>
      <c r="K22" s="78">
        <f t="shared" si="3"/>
        <v>10000</v>
      </c>
    </row>
    <row r="23" spans="1:11" ht="22.5" customHeight="1" x14ac:dyDescent="0.25">
      <c r="A23" s="77" t="s">
        <v>400</v>
      </c>
      <c r="B23" s="352">
        <v>3</v>
      </c>
      <c r="C23" s="352">
        <v>50</v>
      </c>
      <c r="D23" s="352">
        <v>50</v>
      </c>
      <c r="E23" s="352">
        <v>50</v>
      </c>
      <c r="F23" s="352">
        <v>200</v>
      </c>
      <c r="G23" s="352">
        <v>200</v>
      </c>
      <c r="H23" s="352">
        <v>200</v>
      </c>
      <c r="I23" s="78">
        <f>C23*F23</f>
        <v>10000</v>
      </c>
      <c r="J23" s="78">
        <f t="shared" si="3"/>
        <v>10000</v>
      </c>
      <c r="K23" s="78">
        <f t="shared" si="3"/>
        <v>10000</v>
      </c>
    </row>
    <row r="24" spans="1:11" ht="21.75" customHeight="1" x14ac:dyDescent="0.25">
      <c r="A24" s="77" t="s">
        <v>401</v>
      </c>
      <c r="B24" s="352">
        <v>4</v>
      </c>
      <c r="C24" s="352">
        <v>50</v>
      </c>
      <c r="D24" s="352">
        <v>50</v>
      </c>
      <c r="E24" s="352">
        <v>50</v>
      </c>
      <c r="F24" s="352">
        <v>200</v>
      </c>
      <c r="G24" s="352">
        <v>200</v>
      </c>
      <c r="H24" s="352">
        <v>200</v>
      </c>
      <c r="I24" s="78">
        <f>C24*F24</f>
        <v>10000</v>
      </c>
      <c r="J24" s="78">
        <f t="shared" si="3"/>
        <v>10000</v>
      </c>
      <c r="K24" s="78">
        <f t="shared" si="3"/>
        <v>10000</v>
      </c>
    </row>
    <row r="25" spans="1:11" ht="31.5" x14ac:dyDescent="0.25">
      <c r="A25" s="77" t="s">
        <v>402</v>
      </c>
      <c r="B25" s="352">
        <v>5</v>
      </c>
      <c r="C25" s="352">
        <v>50</v>
      </c>
      <c r="D25" s="352">
        <v>50</v>
      </c>
      <c r="E25" s="352">
        <v>50</v>
      </c>
      <c r="F25" s="106">
        <v>992</v>
      </c>
      <c r="G25" s="106">
        <v>992</v>
      </c>
      <c r="H25" s="106">
        <v>992</v>
      </c>
      <c r="I25" s="78">
        <f>C25*F25</f>
        <v>49600</v>
      </c>
      <c r="J25" s="78">
        <f>D25*G25</f>
        <v>49600</v>
      </c>
      <c r="K25" s="78">
        <f>E25*H25</f>
        <v>49600</v>
      </c>
    </row>
    <row r="26" spans="1:11" ht="24" customHeight="1" x14ac:dyDescent="0.2">
      <c r="A26" s="17" t="s">
        <v>350</v>
      </c>
      <c r="B26" s="352">
        <v>6</v>
      </c>
      <c r="C26" s="352">
        <v>1000</v>
      </c>
      <c r="D26" s="352">
        <v>1000</v>
      </c>
      <c r="E26" s="352">
        <v>1000</v>
      </c>
      <c r="F26" s="100">
        <v>398.98</v>
      </c>
      <c r="G26" s="100">
        <f>J26/D26</f>
        <v>398.98</v>
      </c>
      <c r="H26" s="100">
        <f>K26/E26</f>
        <v>398.98</v>
      </c>
      <c r="I26" s="351">
        <v>398980</v>
      </c>
      <c r="J26" s="351">
        <v>398980</v>
      </c>
      <c r="K26" s="351">
        <v>398980</v>
      </c>
    </row>
    <row r="27" spans="1:11" ht="21.75" customHeight="1" x14ac:dyDescent="0.2">
      <c r="A27" s="17" t="s">
        <v>133</v>
      </c>
      <c r="B27" s="352">
        <v>9000</v>
      </c>
      <c r="C27" s="352" t="s">
        <v>11</v>
      </c>
      <c r="D27" s="352" t="s">
        <v>11</v>
      </c>
      <c r="E27" s="352" t="s">
        <v>11</v>
      </c>
      <c r="F27" s="352" t="s">
        <v>11</v>
      </c>
      <c r="G27" s="352" t="s">
        <v>11</v>
      </c>
      <c r="H27" s="352" t="s">
        <v>11</v>
      </c>
      <c r="I27" s="225">
        <f>SUM(I21:I26)</f>
        <v>518600</v>
      </c>
      <c r="J27" s="225">
        <f>J21+J22+J23+J24+J25+J26</f>
        <v>518600</v>
      </c>
      <c r="K27" s="225">
        <f>K21+K22+K23+K24+K25+K26</f>
        <v>518600</v>
      </c>
    </row>
    <row r="28" spans="1:11" ht="15.75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ht="15.75" x14ac:dyDescent="0.25">
      <c r="A29" s="76" t="s">
        <v>472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1" ht="15.75" x14ac:dyDescent="0.2">
      <c r="A30" s="373" t="s">
        <v>215</v>
      </c>
      <c r="B30" s="373" t="s">
        <v>1</v>
      </c>
      <c r="C30" s="373" t="s">
        <v>337</v>
      </c>
      <c r="D30" s="373"/>
      <c r="E30" s="373"/>
      <c r="F30" s="373" t="s">
        <v>338</v>
      </c>
      <c r="G30" s="373"/>
      <c r="H30" s="373"/>
      <c r="I30" s="373" t="s">
        <v>113</v>
      </c>
      <c r="J30" s="373"/>
      <c r="K30" s="373"/>
    </row>
    <row r="31" spans="1:11" ht="15.75" x14ac:dyDescent="0.2">
      <c r="A31" s="373"/>
      <c r="B31" s="373"/>
      <c r="C31" s="352" t="s">
        <v>418</v>
      </c>
      <c r="D31" s="352" t="s">
        <v>548</v>
      </c>
      <c r="E31" s="352" t="s">
        <v>583</v>
      </c>
      <c r="F31" s="352" t="s">
        <v>418</v>
      </c>
      <c r="G31" s="352" t="s">
        <v>548</v>
      </c>
      <c r="H31" s="352" t="s">
        <v>583</v>
      </c>
      <c r="I31" s="352" t="s">
        <v>418</v>
      </c>
      <c r="J31" s="352" t="s">
        <v>548</v>
      </c>
      <c r="K31" s="352" t="s">
        <v>583</v>
      </c>
    </row>
    <row r="32" spans="1:11" ht="47.25" x14ac:dyDescent="0.2">
      <c r="A32" s="373"/>
      <c r="B32" s="373"/>
      <c r="C32" s="352" t="s">
        <v>73</v>
      </c>
      <c r="D32" s="352" t="s">
        <v>74</v>
      </c>
      <c r="E32" s="352" t="s">
        <v>75</v>
      </c>
      <c r="F32" s="352" t="s">
        <v>73</v>
      </c>
      <c r="G32" s="352" t="s">
        <v>74</v>
      </c>
      <c r="H32" s="352" t="s">
        <v>75</v>
      </c>
      <c r="I32" s="352" t="s">
        <v>73</v>
      </c>
      <c r="J32" s="352" t="s">
        <v>74</v>
      </c>
      <c r="K32" s="352" t="s">
        <v>75</v>
      </c>
    </row>
    <row r="33" spans="1:11" ht="15.75" x14ac:dyDescent="0.2">
      <c r="A33" s="352">
        <v>1</v>
      </c>
      <c r="B33" s="352">
        <v>2</v>
      </c>
      <c r="C33" s="352">
        <v>3</v>
      </c>
      <c r="D33" s="352">
        <v>4</v>
      </c>
      <c r="E33" s="352">
        <v>5</v>
      </c>
      <c r="F33" s="352">
        <v>6</v>
      </c>
      <c r="G33" s="352">
        <v>7</v>
      </c>
      <c r="H33" s="352">
        <v>8</v>
      </c>
      <c r="I33" s="352">
        <v>9</v>
      </c>
      <c r="J33" s="352">
        <v>10</v>
      </c>
      <c r="K33" s="352">
        <v>11</v>
      </c>
    </row>
    <row r="34" spans="1:11" ht="63" x14ac:dyDescent="0.2">
      <c r="A34" s="82" t="s">
        <v>403</v>
      </c>
      <c r="B34" s="352">
        <v>1</v>
      </c>
      <c r="C34" s="352">
        <v>1000</v>
      </c>
      <c r="D34" s="352">
        <v>1000</v>
      </c>
      <c r="E34" s="352">
        <v>1000</v>
      </c>
      <c r="F34" s="352">
        <f>I34/C34</f>
        <v>70</v>
      </c>
      <c r="G34" s="352">
        <v>70</v>
      </c>
      <c r="H34" s="352">
        <v>70</v>
      </c>
      <c r="I34" s="85">
        <v>70000</v>
      </c>
      <c r="J34" s="85">
        <v>70000</v>
      </c>
      <c r="K34" s="85">
        <v>70000</v>
      </c>
    </row>
    <row r="35" spans="1:11" ht="47.25" x14ac:dyDescent="0.2">
      <c r="A35" s="86" t="s">
        <v>404</v>
      </c>
      <c r="B35" s="352">
        <v>2</v>
      </c>
      <c r="C35" s="352">
        <v>10</v>
      </c>
      <c r="D35" s="352">
        <v>10</v>
      </c>
      <c r="E35" s="352">
        <v>10</v>
      </c>
      <c r="F35" s="352">
        <v>800</v>
      </c>
      <c r="G35" s="352">
        <v>800</v>
      </c>
      <c r="H35" s="352">
        <v>800</v>
      </c>
      <c r="I35" s="85">
        <v>8000</v>
      </c>
      <c r="J35" s="85">
        <v>8000</v>
      </c>
      <c r="K35" s="85">
        <v>8000</v>
      </c>
    </row>
    <row r="36" spans="1:11" ht="47.25" x14ac:dyDescent="0.2">
      <c r="A36" s="82" t="s">
        <v>405</v>
      </c>
      <c r="B36" s="352">
        <v>3</v>
      </c>
      <c r="C36" s="352">
        <v>20</v>
      </c>
      <c r="D36" s="352">
        <v>20</v>
      </c>
      <c r="E36" s="352">
        <v>20</v>
      </c>
      <c r="F36" s="352">
        <v>250</v>
      </c>
      <c r="G36" s="352">
        <v>250</v>
      </c>
      <c r="H36" s="352">
        <v>250</v>
      </c>
      <c r="I36" s="85">
        <v>5000</v>
      </c>
      <c r="J36" s="85">
        <v>5000</v>
      </c>
      <c r="K36" s="85">
        <v>5000</v>
      </c>
    </row>
    <row r="37" spans="1:11" ht="78.75" x14ac:dyDescent="0.2">
      <c r="A37" s="82" t="s">
        <v>406</v>
      </c>
      <c r="B37" s="352">
        <v>4</v>
      </c>
      <c r="C37" s="352">
        <v>40</v>
      </c>
      <c r="D37" s="352">
        <v>40</v>
      </c>
      <c r="E37" s="352">
        <v>40</v>
      </c>
      <c r="F37" s="352">
        <v>250</v>
      </c>
      <c r="G37" s="352">
        <v>250</v>
      </c>
      <c r="H37" s="352">
        <v>250</v>
      </c>
      <c r="I37" s="85">
        <f t="shared" ref="I37:K41" si="4">F37*C37</f>
        <v>10000</v>
      </c>
      <c r="J37" s="85">
        <f t="shared" si="4"/>
        <v>10000</v>
      </c>
      <c r="K37" s="85">
        <f t="shared" si="4"/>
        <v>10000</v>
      </c>
    </row>
    <row r="38" spans="1:11" ht="47.25" x14ac:dyDescent="0.2">
      <c r="A38" s="82" t="s">
        <v>407</v>
      </c>
      <c r="B38" s="352">
        <v>5</v>
      </c>
      <c r="C38" s="352">
        <v>40</v>
      </c>
      <c r="D38" s="352">
        <v>40</v>
      </c>
      <c r="E38" s="352">
        <v>40</v>
      </c>
      <c r="F38" s="352">
        <f>I38/C38</f>
        <v>1574.75</v>
      </c>
      <c r="G38" s="352">
        <f t="shared" ref="G38:H40" si="5">J38/D38</f>
        <v>1574.75</v>
      </c>
      <c r="H38" s="352">
        <f t="shared" si="5"/>
        <v>1574.75</v>
      </c>
      <c r="I38" s="85">
        <v>62990</v>
      </c>
      <c r="J38" s="85">
        <v>62990</v>
      </c>
      <c r="K38" s="85">
        <v>62990</v>
      </c>
    </row>
    <row r="39" spans="1:11" ht="110.25" x14ac:dyDescent="0.2">
      <c r="A39" s="82" t="s">
        <v>408</v>
      </c>
      <c r="B39" s="352">
        <v>6</v>
      </c>
      <c r="C39" s="352">
        <v>10</v>
      </c>
      <c r="D39" s="352">
        <v>10</v>
      </c>
      <c r="E39" s="352">
        <v>10</v>
      </c>
      <c r="F39" s="352">
        <f>I39/C39</f>
        <v>500</v>
      </c>
      <c r="G39" s="352">
        <f t="shared" si="5"/>
        <v>500</v>
      </c>
      <c r="H39" s="352">
        <f t="shared" si="5"/>
        <v>500</v>
      </c>
      <c r="I39" s="85">
        <v>5000</v>
      </c>
      <c r="J39" s="85">
        <v>5000</v>
      </c>
      <c r="K39" s="85">
        <v>5000</v>
      </c>
    </row>
    <row r="40" spans="1:11" ht="63" x14ac:dyDescent="0.2">
      <c r="A40" s="82" t="s">
        <v>409</v>
      </c>
      <c r="B40" s="352">
        <v>7</v>
      </c>
      <c r="C40" s="352">
        <v>50</v>
      </c>
      <c r="D40" s="352">
        <v>50</v>
      </c>
      <c r="E40" s="352">
        <v>50</v>
      </c>
      <c r="F40" s="100">
        <f>I40/C40</f>
        <v>120</v>
      </c>
      <c r="G40" s="100">
        <f t="shared" si="5"/>
        <v>120</v>
      </c>
      <c r="H40" s="100">
        <f t="shared" si="5"/>
        <v>120</v>
      </c>
      <c r="I40" s="85">
        <v>6000</v>
      </c>
      <c r="J40" s="85">
        <v>6000</v>
      </c>
      <c r="K40" s="85">
        <v>6000</v>
      </c>
    </row>
    <row r="41" spans="1:11" ht="47.25" x14ac:dyDescent="0.2">
      <c r="A41" s="82" t="s">
        <v>410</v>
      </c>
      <c r="B41" s="352">
        <v>8</v>
      </c>
      <c r="C41" s="352">
        <v>100</v>
      </c>
      <c r="D41" s="352">
        <v>100</v>
      </c>
      <c r="E41" s="17">
        <v>100</v>
      </c>
      <c r="F41" s="100">
        <v>120</v>
      </c>
      <c r="G41" s="100">
        <v>120</v>
      </c>
      <c r="H41" s="100">
        <v>120</v>
      </c>
      <c r="I41" s="85">
        <f t="shared" si="4"/>
        <v>12000</v>
      </c>
      <c r="J41" s="85">
        <f t="shared" si="4"/>
        <v>12000</v>
      </c>
      <c r="K41" s="85">
        <f t="shared" si="4"/>
        <v>12000</v>
      </c>
    </row>
    <row r="42" spans="1:11" ht="63" x14ac:dyDescent="0.2">
      <c r="A42" s="82" t="s">
        <v>411</v>
      </c>
      <c r="B42" s="352">
        <v>9</v>
      </c>
      <c r="C42" s="352">
        <v>100</v>
      </c>
      <c r="D42" s="352">
        <v>100</v>
      </c>
      <c r="E42" s="352">
        <v>100</v>
      </c>
      <c r="F42" s="100">
        <f>I42/E42</f>
        <v>236.3</v>
      </c>
      <c r="G42" s="100">
        <v>986</v>
      </c>
      <c r="H42" s="100">
        <v>986</v>
      </c>
      <c r="I42" s="85">
        <v>23630</v>
      </c>
      <c r="J42" s="85">
        <v>23630</v>
      </c>
      <c r="K42" s="85">
        <v>23630</v>
      </c>
    </row>
    <row r="43" spans="1:11" ht="20.25" customHeight="1" x14ac:dyDescent="0.2">
      <c r="A43" s="17" t="s">
        <v>133</v>
      </c>
      <c r="B43" s="352">
        <v>9000</v>
      </c>
      <c r="C43" s="352" t="s">
        <v>11</v>
      </c>
      <c r="D43" s="352" t="s">
        <v>11</v>
      </c>
      <c r="E43" s="352" t="s">
        <v>11</v>
      </c>
      <c r="F43" s="352" t="s">
        <v>11</v>
      </c>
      <c r="G43" s="352" t="s">
        <v>11</v>
      </c>
      <c r="H43" s="352" t="s">
        <v>11</v>
      </c>
      <c r="I43" s="225">
        <f>SUM(I34:I42)</f>
        <v>202620</v>
      </c>
      <c r="J43" s="225">
        <f>SUM(J34:J42)</f>
        <v>202620</v>
      </c>
      <c r="K43" s="225">
        <f>SUM(K34:K42)</f>
        <v>202620</v>
      </c>
    </row>
    <row r="44" spans="1:11" ht="15.75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</row>
    <row r="45" spans="1:11" ht="15.75" hidden="1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</row>
    <row r="46" spans="1:11" ht="15.75" hidden="1" x14ac:dyDescent="0.25">
      <c r="A46" s="76" t="s">
        <v>473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</row>
    <row r="47" spans="1:11" ht="15.75" hidden="1" x14ac:dyDescent="0.2">
      <c r="A47" s="373" t="s">
        <v>215</v>
      </c>
      <c r="B47" s="373" t="s">
        <v>1</v>
      </c>
      <c r="C47" s="373" t="s">
        <v>337</v>
      </c>
      <c r="D47" s="373"/>
      <c r="E47" s="373"/>
      <c r="F47" s="373" t="s">
        <v>338</v>
      </c>
      <c r="G47" s="373"/>
      <c r="H47" s="373"/>
      <c r="I47" s="373" t="s">
        <v>113</v>
      </c>
      <c r="J47" s="373"/>
      <c r="K47" s="373"/>
    </row>
    <row r="48" spans="1:11" ht="15.75" hidden="1" x14ac:dyDescent="0.2">
      <c r="A48" s="373"/>
      <c r="B48" s="373"/>
      <c r="C48" s="352" t="s">
        <v>417</v>
      </c>
      <c r="D48" s="352" t="s">
        <v>418</v>
      </c>
      <c r="E48" s="352" t="s">
        <v>548</v>
      </c>
      <c r="F48" s="352" t="s">
        <v>417</v>
      </c>
      <c r="G48" s="352" t="s">
        <v>418</v>
      </c>
      <c r="H48" s="352" t="s">
        <v>548</v>
      </c>
      <c r="I48" s="352" t="s">
        <v>417</v>
      </c>
      <c r="J48" s="352" t="s">
        <v>418</v>
      </c>
      <c r="K48" s="352" t="s">
        <v>548</v>
      </c>
    </row>
    <row r="49" spans="1:11" ht="47.25" hidden="1" x14ac:dyDescent="0.2">
      <c r="A49" s="373"/>
      <c r="B49" s="373"/>
      <c r="C49" s="352" t="s">
        <v>73</v>
      </c>
      <c r="D49" s="352" t="s">
        <v>74</v>
      </c>
      <c r="E49" s="352" t="s">
        <v>75</v>
      </c>
      <c r="F49" s="352" t="s">
        <v>73</v>
      </c>
      <c r="G49" s="352" t="s">
        <v>74</v>
      </c>
      <c r="H49" s="352" t="s">
        <v>75</v>
      </c>
      <c r="I49" s="352" t="s">
        <v>73</v>
      </c>
      <c r="J49" s="352" t="s">
        <v>74</v>
      </c>
      <c r="K49" s="352" t="s">
        <v>75</v>
      </c>
    </row>
    <row r="50" spans="1:11" ht="15.75" hidden="1" x14ac:dyDescent="0.2">
      <c r="A50" s="352">
        <v>1</v>
      </c>
      <c r="B50" s="352">
        <v>2</v>
      </c>
      <c r="C50" s="352">
        <v>3</v>
      </c>
      <c r="D50" s="352">
        <v>4</v>
      </c>
      <c r="E50" s="352">
        <v>5</v>
      </c>
      <c r="F50" s="352">
        <v>6</v>
      </c>
      <c r="G50" s="352">
        <v>7</v>
      </c>
      <c r="H50" s="352">
        <v>8</v>
      </c>
      <c r="I50" s="352">
        <v>9</v>
      </c>
      <c r="J50" s="352">
        <v>10</v>
      </c>
      <c r="K50" s="352">
        <v>11</v>
      </c>
    </row>
    <row r="51" spans="1:11" ht="26.25" hidden="1" customHeight="1" x14ac:dyDescent="0.2">
      <c r="A51" s="82" t="s">
        <v>412</v>
      </c>
      <c r="B51" s="352">
        <v>1</v>
      </c>
      <c r="C51" s="17"/>
      <c r="D51" s="17"/>
      <c r="E51" s="17"/>
      <c r="F51" s="351"/>
      <c r="G51" s="351"/>
      <c r="H51" s="351"/>
      <c r="I51" s="85"/>
      <c r="J51" s="85"/>
      <c r="K51" s="85"/>
    </row>
    <row r="52" spans="1:11" ht="47.25" hidden="1" x14ac:dyDescent="0.2">
      <c r="A52" s="82" t="s">
        <v>407</v>
      </c>
      <c r="B52" s="352">
        <v>2</v>
      </c>
      <c r="C52" s="17"/>
      <c r="D52" s="17"/>
      <c r="E52" s="17"/>
      <c r="F52" s="351"/>
      <c r="G52" s="351"/>
      <c r="H52" s="351"/>
      <c r="I52" s="85"/>
      <c r="J52" s="85"/>
      <c r="K52" s="85"/>
    </row>
    <row r="53" spans="1:11" ht="126" hidden="1" x14ac:dyDescent="0.2">
      <c r="A53" s="82" t="s">
        <v>413</v>
      </c>
      <c r="B53" s="352">
        <v>3</v>
      </c>
      <c r="C53" s="17"/>
      <c r="D53" s="17"/>
      <c r="E53" s="17"/>
      <c r="F53" s="351"/>
      <c r="G53" s="351"/>
      <c r="H53" s="351"/>
      <c r="I53" s="85"/>
      <c r="J53" s="85"/>
      <c r="K53" s="85"/>
    </row>
    <row r="54" spans="1:11" ht="15.75" hidden="1" customHeight="1" x14ac:dyDescent="0.2">
      <c r="A54" s="17" t="s">
        <v>133</v>
      </c>
      <c r="B54" s="352">
        <v>9000</v>
      </c>
      <c r="C54" s="352" t="s">
        <v>11</v>
      </c>
      <c r="D54" s="352" t="s">
        <v>11</v>
      </c>
      <c r="E54" s="352" t="s">
        <v>11</v>
      </c>
      <c r="F54" s="352" t="s">
        <v>11</v>
      </c>
      <c r="G54" s="352" t="s">
        <v>11</v>
      </c>
      <c r="H54" s="352" t="s">
        <v>11</v>
      </c>
      <c r="I54" s="353">
        <f>SUM(I51:I53)</f>
        <v>0</v>
      </c>
      <c r="J54" s="353">
        <f>SUM(J51:J53)</f>
        <v>0</v>
      </c>
      <c r="K54" s="353">
        <f>SUM(K51:K53)</f>
        <v>0</v>
      </c>
    </row>
    <row r="55" spans="1:11" ht="15.75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</row>
    <row r="56" spans="1:11" ht="15.75" x14ac:dyDescent="0.25">
      <c r="A56" s="76" t="s">
        <v>474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 ht="15.75" x14ac:dyDescent="0.2">
      <c r="A57" s="373" t="s">
        <v>215</v>
      </c>
      <c r="B57" s="373" t="s">
        <v>1</v>
      </c>
      <c r="C57" s="373" t="s">
        <v>337</v>
      </c>
      <c r="D57" s="373"/>
      <c r="E57" s="373"/>
      <c r="F57" s="373" t="s">
        <v>338</v>
      </c>
      <c r="G57" s="373"/>
      <c r="H57" s="373"/>
      <c r="I57" s="373" t="s">
        <v>113</v>
      </c>
      <c r="J57" s="373"/>
      <c r="K57" s="373"/>
    </row>
    <row r="58" spans="1:11" ht="21" customHeight="1" x14ac:dyDescent="0.2">
      <c r="A58" s="373"/>
      <c r="B58" s="373"/>
      <c r="C58" s="352" t="s">
        <v>418</v>
      </c>
      <c r="D58" s="352" t="s">
        <v>548</v>
      </c>
      <c r="E58" s="352" t="s">
        <v>583</v>
      </c>
      <c r="F58" s="352" t="s">
        <v>418</v>
      </c>
      <c r="G58" s="352" t="s">
        <v>548</v>
      </c>
      <c r="H58" s="352" t="s">
        <v>583</v>
      </c>
      <c r="I58" s="352" t="s">
        <v>418</v>
      </c>
      <c r="J58" s="352" t="s">
        <v>548</v>
      </c>
      <c r="K58" s="352" t="s">
        <v>583</v>
      </c>
    </row>
    <row r="59" spans="1:11" ht="54" customHeight="1" x14ac:dyDescent="0.2">
      <c r="A59" s="373"/>
      <c r="B59" s="373"/>
      <c r="C59" s="352" t="s">
        <v>73</v>
      </c>
      <c r="D59" s="352" t="s">
        <v>74</v>
      </c>
      <c r="E59" s="352" t="s">
        <v>75</v>
      </c>
      <c r="F59" s="352" t="s">
        <v>73</v>
      </c>
      <c r="G59" s="352" t="s">
        <v>74</v>
      </c>
      <c r="H59" s="352" t="s">
        <v>75</v>
      </c>
      <c r="I59" s="352" t="s">
        <v>73</v>
      </c>
      <c r="J59" s="352" t="s">
        <v>74</v>
      </c>
      <c r="K59" s="352" t="s">
        <v>75</v>
      </c>
    </row>
    <row r="60" spans="1:11" ht="22.5" customHeight="1" x14ac:dyDescent="0.2">
      <c r="A60" s="352">
        <v>1</v>
      </c>
      <c r="B60" s="352">
        <v>2</v>
      </c>
      <c r="C60" s="352">
        <v>3</v>
      </c>
      <c r="D60" s="352">
        <v>4</v>
      </c>
      <c r="E60" s="352">
        <v>5</v>
      </c>
      <c r="F60" s="352">
        <v>6</v>
      </c>
      <c r="G60" s="352">
        <v>7</v>
      </c>
      <c r="H60" s="352">
        <v>8</v>
      </c>
      <c r="I60" s="352">
        <v>9</v>
      </c>
      <c r="J60" s="352">
        <v>10</v>
      </c>
      <c r="K60" s="352">
        <v>11</v>
      </c>
    </row>
    <row r="61" spans="1:11" ht="27.75" customHeight="1" x14ac:dyDescent="0.2">
      <c r="A61" s="91" t="s">
        <v>352</v>
      </c>
      <c r="B61" s="352">
        <v>1</v>
      </c>
      <c r="C61" s="352">
        <v>200</v>
      </c>
      <c r="D61" s="352">
        <v>200</v>
      </c>
      <c r="E61" s="352">
        <v>200</v>
      </c>
      <c r="F61" s="352">
        <v>100</v>
      </c>
      <c r="G61" s="352">
        <v>100</v>
      </c>
      <c r="H61" s="352">
        <v>100</v>
      </c>
      <c r="I61" s="94">
        <v>20000</v>
      </c>
      <c r="J61" s="94">
        <v>20000</v>
      </c>
      <c r="K61" s="94">
        <v>20000</v>
      </c>
    </row>
    <row r="62" spans="1:11" ht="51" customHeight="1" x14ac:dyDescent="0.2">
      <c r="A62" s="91" t="s">
        <v>414</v>
      </c>
      <c r="B62" s="352">
        <v>2</v>
      </c>
      <c r="C62" s="352">
        <v>20</v>
      </c>
      <c r="D62" s="352">
        <v>20</v>
      </c>
      <c r="E62" s="352">
        <v>20</v>
      </c>
      <c r="F62" s="100">
        <v>798.5</v>
      </c>
      <c r="G62" s="100">
        <v>798.5</v>
      </c>
      <c r="H62" s="100">
        <v>798.5</v>
      </c>
      <c r="I62" s="94">
        <v>15970</v>
      </c>
      <c r="J62" s="94">
        <v>15970</v>
      </c>
      <c r="K62" s="94">
        <v>15970</v>
      </c>
    </row>
    <row r="63" spans="1:11" ht="24" customHeight="1" x14ac:dyDescent="0.2">
      <c r="A63" s="17" t="s">
        <v>133</v>
      </c>
      <c r="B63" s="352">
        <v>9000</v>
      </c>
      <c r="C63" s="352" t="s">
        <v>11</v>
      </c>
      <c r="D63" s="352" t="s">
        <v>11</v>
      </c>
      <c r="E63" s="352" t="s">
        <v>11</v>
      </c>
      <c r="F63" s="352" t="s">
        <v>11</v>
      </c>
      <c r="G63" s="352" t="s">
        <v>11</v>
      </c>
      <c r="H63" s="352" t="s">
        <v>11</v>
      </c>
      <c r="I63" s="225">
        <f>SUM(I61:I62)</f>
        <v>35970</v>
      </c>
      <c r="J63" s="225">
        <f>SUM(J61:J62)</f>
        <v>35970</v>
      </c>
      <c r="K63" s="225">
        <f>SUM(K61:K62)</f>
        <v>35970</v>
      </c>
    </row>
    <row r="64" spans="1:11" ht="15.75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</row>
    <row r="65" spans="1:11" ht="20.25" customHeight="1" x14ac:dyDescent="0.25">
      <c r="A65" s="76" t="s">
        <v>475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</row>
    <row r="66" spans="1:11" ht="24.75" customHeight="1" x14ac:dyDescent="0.2">
      <c r="A66" s="373" t="s">
        <v>215</v>
      </c>
      <c r="B66" s="373" t="s">
        <v>1</v>
      </c>
      <c r="C66" s="373" t="s">
        <v>337</v>
      </c>
      <c r="D66" s="373"/>
      <c r="E66" s="373"/>
      <c r="F66" s="373" t="s">
        <v>338</v>
      </c>
      <c r="G66" s="373"/>
      <c r="H66" s="373"/>
      <c r="I66" s="373" t="s">
        <v>113</v>
      </c>
      <c r="J66" s="373"/>
      <c r="K66" s="373"/>
    </row>
    <row r="67" spans="1:11" ht="24.75" customHeight="1" x14ac:dyDescent="0.2">
      <c r="A67" s="373"/>
      <c r="B67" s="373"/>
      <c r="C67" s="352" t="s">
        <v>418</v>
      </c>
      <c r="D67" s="352" t="s">
        <v>548</v>
      </c>
      <c r="E67" s="352" t="s">
        <v>583</v>
      </c>
      <c r="F67" s="352" t="s">
        <v>418</v>
      </c>
      <c r="G67" s="352" t="s">
        <v>548</v>
      </c>
      <c r="H67" s="352" t="s">
        <v>583</v>
      </c>
      <c r="I67" s="352" t="s">
        <v>418</v>
      </c>
      <c r="J67" s="352" t="s">
        <v>548</v>
      </c>
      <c r="K67" s="352" t="s">
        <v>583</v>
      </c>
    </row>
    <row r="68" spans="1:11" ht="52.5" customHeight="1" x14ac:dyDescent="0.2">
      <c r="A68" s="373"/>
      <c r="B68" s="373"/>
      <c r="C68" s="352" t="s">
        <v>73</v>
      </c>
      <c r="D68" s="352" t="s">
        <v>74</v>
      </c>
      <c r="E68" s="352" t="s">
        <v>75</v>
      </c>
      <c r="F68" s="352" t="s">
        <v>73</v>
      </c>
      <c r="G68" s="352" t="s">
        <v>74</v>
      </c>
      <c r="H68" s="352" t="s">
        <v>75</v>
      </c>
      <c r="I68" s="352" t="s">
        <v>73</v>
      </c>
      <c r="J68" s="352" t="s">
        <v>74</v>
      </c>
      <c r="K68" s="352" t="s">
        <v>75</v>
      </c>
    </row>
    <row r="69" spans="1:11" ht="20.25" customHeight="1" x14ac:dyDescent="0.2">
      <c r="A69" s="352">
        <v>1</v>
      </c>
      <c r="B69" s="352">
        <v>2</v>
      </c>
      <c r="C69" s="352">
        <v>3</v>
      </c>
      <c r="D69" s="352">
        <v>4</v>
      </c>
      <c r="E69" s="352">
        <v>5</v>
      </c>
      <c r="F69" s="352">
        <v>6</v>
      </c>
      <c r="G69" s="352">
        <v>7</v>
      </c>
      <c r="H69" s="352">
        <v>8</v>
      </c>
      <c r="I69" s="352">
        <v>9</v>
      </c>
      <c r="J69" s="352">
        <v>10</v>
      </c>
      <c r="K69" s="352">
        <v>11</v>
      </c>
    </row>
    <row r="70" spans="1:11" ht="24" customHeight="1" x14ac:dyDescent="0.25">
      <c r="A70" s="91" t="s">
        <v>415</v>
      </c>
      <c r="B70" s="352">
        <v>1</v>
      </c>
      <c r="C70" s="17">
        <v>50</v>
      </c>
      <c r="D70" s="17">
        <v>50</v>
      </c>
      <c r="E70" s="17">
        <v>50</v>
      </c>
      <c r="F70" s="351">
        <v>155</v>
      </c>
      <c r="G70" s="351">
        <v>155</v>
      </c>
      <c r="H70" s="351">
        <f t="shared" ref="G70:H71" si="6">K70/E70</f>
        <v>155</v>
      </c>
      <c r="I70" s="107">
        <v>7750</v>
      </c>
      <c r="J70" s="107">
        <v>7750</v>
      </c>
      <c r="K70" s="107">
        <v>7750</v>
      </c>
    </row>
    <row r="71" spans="1:11" ht="20.25" customHeight="1" x14ac:dyDescent="0.25">
      <c r="A71" s="68" t="s">
        <v>352</v>
      </c>
      <c r="B71" s="68">
        <v>2</v>
      </c>
      <c r="C71" s="68">
        <v>500</v>
      </c>
      <c r="D71" s="68">
        <v>500</v>
      </c>
      <c r="E71" s="68">
        <v>500</v>
      </c>
      <c r="F71" s="68">
        <f>I71/C71</f>
        <v>30</v>
      </c>
      <c r="G71" s="68">
        <f t="shared" si="6"/>
        <v>30</v>
      </c>
      <c r="H71" s="68">
        <f t="shared" si="6"/>
        <v>30</v>
      </c>
      <c r="I71" s="107">
        <v>15000</v>
      </c>
      <c r="J71" s="107">
        <v>15000</v>
      </c>
      <c r="K71" s="107">
        <v>15000</v>
      </c>
    </row>
    <row r="72" spans="1:11" ht="20.25" customHeight="1" x14ac:dyDescent="0.2">
      <c r="A72" s="17" t="s">
        <v>133</v>
      </c>
      <c r="B72" s="352">
        <v>9000</v>
      </c>
      <c r="C72" s="352" t="s">
        <v>11</v>
      </c>
      <c r="D72" s="352" t="s">
        <v>11</v>
      </c>
      <c r="E72" s="352" t="s">
        <v>11</v>
      </c>
      <c r="F72" s="352" t="s">
        <v>11</v>
      </c>
      <c r="G72" s="352" t="s">
        <v>11</v>
      </c>
      <c r="H72" s="352" t="s">
        <v>11</v>
      </c>
      <c r="I72" s="353">
        <f>SUM(I70:I70)+I71</f>
        <v>22750</v>
      </c>
      <c r="J72" s="353">
        <f>SUM(J70:J70)+J71</f>
        <v>22750</v>
      </c>
      <c r="K72" s="353">
        <f>SUM(K70:K70)+K71</f>
        <v>22750</v>
      </c>
    </row>
    <row r="73" spans="1:11" ht="15.75" x14ac:dyDescent="0.2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</row>
    <row r="74" spans="1:11" ht="19.5" customHeight="1" x14ac:dyDescent="0.25">
      <c r="A74" s="96" t="s">
        <v>564</v>
      </c>
      <c r="B74" s="76"/>
      <c r="C74" s="104"/>
      <c r="D74" s="66"/>
      <c r="E74" s="66"/>
      <c r="F74" s="66"/>
      <c r="G74" s="66"/>
      <c r="H74" s="66"/>
      <c r="I74" s="66"/>
      <c r="J74" s="66"/>
      <c r="K74" s="66"/>
    </row>
    <row r="75" spans="1:11" ht="21.75" customHeight="1" x14ac:dyDescent="0.2">
      <c r="A75" s="373" t="s">
        <v>215</v>
      </c>
      <c r="B75" s="373" t="s">
        <v>1</v>
      </c>
      <c r="C75" s="373" t="s">
        <v>337</v>
      </c>
      <c r="D75" s="373"/>
      <c r="E75" s="373"/>
      <c r="F75" s="373" t="s">
        <v>338</v>
      </c>
      <c r="G75" s="373"/>
      <c r="H75" s="373"/>
      <c r="I75" s="373" t="s">
        <v>113</v>
      </c>
      <c r="J75" s="373"/>
      <c r="K75" s="373"/>
    </row>
    <row r="76" spans="1:11" ht="22.5" customHeight="1" x14ac:dyDescent="0.2">
      <c r="A76" s="373"/>
      <c r="B76" s="373"/>
      <c r="C76" s="352" t="s">
        <v>418</v>
      </c>
      <c r="D76" s="352" t="s">
        <v>548</v>
      </c>
      <c r="E76" s="352" t="s">
        <v>583</v>
      </c>
      <c r="F76" s="352" t="s">
        <v>418</v>
      </c>
      <c r="G76" s="352" t="s">
        <v>548</v>
      </c>
      <c r="H76" s="352" t="s">
        <v>583</v>
      </c>
      <c r="I76" s="352" t="s">
        <v>418</v>
      </c>
      <c r="J76" s="352" t="s">
        <v>548</v>
      </c>
      <c r="K76" s="352" t="s">
        <v>583</v>
      </c>
    </row>
    <row r="77" spans="1:11" ht="53.25" customHeight="1" x14ac:dyDescent="0.2">
      <c r="A77" s="373"/>
      <c r="B77" s="373"/>
      <c r="C77" s="352" t="s">
        <v>73</v>
      </c>
      <c r="D77" s="352" t="s">
        <v>74</v>
      </c>
      <c r="E77" s="352" t="s">
        <v>75</v>
      </c>
      <c r="F77" s="352" t="s">
        <v>73</v>
      </c>
      <c r="G77" s="352" t="s">
        <v>74</v>
      </c>
      <c r="H77" s="352" t="s">
        <v>75</v>
      </c>
      <c r="I77" s="352" t="s">
        <v>73</v>
      </c>
      <c r="J77" s="352" t="s">
        <v>74</v>
      </c>
      <c r="K77" s="352" t="s">
        <v>75</v>
      </c>
    </row>
    <row r="78" spans="1:11" ht="32.25" customHeight="1" x14ac:dyDescent="0.2">
      <c r="A78" s="352" t="s">
        <v>215</v>
      </c>
      <c r="B78" s="352">
        <v>2</v>
      </c>
      <c r="C78" s="352">
        <v>3</v>
      </c>
      <c r="D78" s="352">
        <v>4</v>
      </c>
      <c r="E78" s="352">
        <v>5</v>
      </c>
      <c r="F78" s="352">
        <v>6</v>
      </c>
      <c r="G78" s="352">
        <v>7</v>
      </c>
      <c r="H78" s="352">
        <v>8</v>
      </c>
      <c r="I78" s="352">
        <v>9</v>
      </c>
      <c r="J78" s="352">
        <v>10</v>
      </c>
      <c r="K78" s="352">
        <v>11</v>
      </c>
    </row>
    <row r="79" spans="1:11" ht="20.25" hidden="1" customHeight="1" x14ac:dyDescent="0.2">
      <c r="A79" s="17" t="s">
        <v>515</v>
      </c>
      <c r="B79" s="352">
        <v>2</v>
      </c>
      <c r="C79" s="17"/>
      <c r="D79" s="17"/>
      <c r="E79" s="17"/>
      <c r="F79" s="351"/>
      <c r="G79" s="351"/>
      <c r="H79" s="351"/>
      <c r="I79" s="351"/>
      <c r="J79" s="351"/>
      <c r="K79" s="351"/>
    </row>
    <row r="80" spans="1:11" ht="21" hidden="1" customHeight="1" x14ac:dyDescent="0.2">
      <c r="A80" s="17"/>
      <c r="B80" s="352">
        <v>3</v>
      </c>
      <c r="C80" s="17"/>
      <c r="D80" s="17"/>
      <c r="E80" s="17"/>
      <c r="F80" s="351"/>
      <c r="G80" s="351"/>
      <c r="H80" s="351"/>
      <c r="I80" s="351"/>
      <c r="J80" s="351"/>
      <c r="K80" s="351"/>
    </row>
    <row r="81" spans="1:11" ht="21" customHeight="1" x14ac:dyDescent="0.2">
      <c r="A81" s="17" t="s">
        <v>606</v>
      </c>
      <c r="B81" s="352"/>
      <c r="C81" s="17">
        <v>2</v>
      </c>
      <c r="D81" s="17">
        <v>0</v>
      </c>
      <c r="E81" s="17">
        <v>0</v>
      </c>
      <c r="F81" s="351">
        <f>I81/C81</f>
        <v>5000</v>
      </c>
      <c r="G81" s="351">
        <v>0</v>
      </c>
      <c r="H81" s="351">
        <v>0</v>
      </c>
      <c r="I81" s="351">
        <v>10000</v>
      </c>
      <c r="J81" s="351">
        <v>0</v>
      </c>
      <c r="K81" s="351">
        <v>0</v>
      </c>
    </row>
    <row r="82" spans="1:11" ht="21.75" customHeight="1" x14ac:dyDescent="0.2">
      <c r="A82" s="17" t="s">
        <v>133</v>
      </c>
      <c r="B82" s="352">
        <v>9000</v>
      </c>
      <c r="C82" s="352" t="s">
        <v>11</v>
      </c>
      <c r="D82" s="352" t="s">
        <v>11</v>
      </c>
      <c r="E82" s="352" t="s">
        <v>11</v>
      </c>
      <c r="F82" s="352" t="s">
        <v>11</v>
      </c>
      <c r="G82" s="352" t="s">
        <v>11</v>
      </c>
      <c r="H82" s="352" t="s">
        <v>11</v>
      </c>
      <c r="I82" s="225">
        <f>SUM(I81:I81)</f>
        <v>10000</v>
      </c>
      <c r="J82" s="225">
        <f>SUM(J79:J81)</f>
        <v>0</v>
      </c>
      <c r="K82" s="225">
        <f>SUM(K79:K80)</f>
        <v>0</v>
      </c>
    </row>
    <row r="83" spans="1:11" ht="15.75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</row>
    <row r="84" spans="1:11" ht="15.75" x14ac:dyDescent="0.25">
      <c r="A84" s="76" t="s">
        <v>492</v>
      </c>
      <c r="B84" s="76"/>
      <c r="C84" s="76"/>
      <c r="D84" s="66"/>
      <c r="E84" s="66"/>
      <c r="F84" s="66"/>
      <c r="G84" s="66"/>
      <c r="H84" s="66"/>
      <c r="I84" s="66"/>
      <c r="J84" s="66"/>
      <c r="K84" s="66"/>
    </row>
    <row r="85" spans="1:11" ht="15.75" customHeight="1" x14ac:dyDescent="0.2">
      <c r="A85" s="377" t="s">
        <v>215</v>
      </c>
      <c r="B85" s="377" t="s">
        <v>1</v>
      </c>
      <c r="C85" s="443" t="s">
        <v>337</v>
      </c>
      <c r="D85" s="444"/>
      <c r="E85" s="445"/>
      <c r="F85" s="443" t="s">
        <v>338</v>
      </c>
      <c r="G85" s="444"/>
      <c r="H85" s="445"/>
      <c r="I85" s="443" t="s">
        <v>113</v>
      </c>
      <c r="J85" s="444"/>
      <c r="K85" s="445"/>
    </row>
    <row r="86" spans="1:11" ht="15.75" x14ac:dyDescent="0.2">
      <c r="A86" s="382"/>
      <c r="B86" s="382"/>
      <c r="C86" s="352" t="s">
        <v>418</v>
      </c>
      <c r="D86" s="352" t="s">
        <v>548</v>
      </c>
      <c r="E86" s="352" t="s">
        <v>583</v>
      </c>
      <c r="F86" s="352" t="s">
        <v>418</v>
      </c>
      <c r="G86" s="352" t="s">
        <v>548</v>
      </c>
      <c r="H86" s="352" t="s">
        <v>583</v>
      </c>
      <c r="I86" s="352" t="s">
        <v>418</v>
      </c>
      <c r="J86" s="352" t="s">
        <v>548</v>
      </c>
      <c r="K86" s="352" t="s">
        <v>583</v>
      </c>
    </row>
    <row r="87" spans="1:11" ht="56.25" customHeight="1" x14ac:dyDescent="0.2">
      <c r="A87" s="378"/>
      <c r="B87" s="378"/>
      <c r="C87" s="352" t="s">
        <v>73</v>
      </c>
      <c r="D87" s="352" t="s">
        <v>74</v>
      </c>
      <c r="E87" s="352" t="s">
        <v>75</v>
      </c>
      <c r="F87" s="352" t="s">
        <v>73</v>
      </c>
      <c r="G87" s="352" t="s">
        <v>74</v>
      </c>
      <c r="H87" s="352" t="s">
        <v>75</v>
      </c>
      <c r="I87" s="352" t="s">
        <v>73</v>
      </c>
      <c r="J87" s="352" t="s">
        <v>74</v>
      </c>
      <c r="K87" s="352" t="s">
        <v>75</v>
      </c>
    </row>
    <row r="88" spans="1:11" ht="23.25" customHeight="1" x14ac:dyDescent="0.2">
      <c r="A88" s="352">
        <v>1</v>
      </c>
      <c r="B88" s="352">
        <v>2</v>
      </c>
      <c r="C88" s="352">
        <v>3</v>
      </c>
      <c r="D88" s="352">
        <v>4</v>
      </c>
      <c r="E88" s="352">
        <v>5</v>
      </c>
      <c r="F88" s="352">
        <v>6</v>
      </c>
      <c r="G88" s="352">
        <v>7</v>
      </c>
      <c r="H88" s="352">
        <v>8</v>
      </c>
      <c r="I88" s="352">
        <v>9</v>
      </c>
      <c r="J88" s="352">
        <v>10</v>
      </c>
      <c r="K88" s="352">
        <v>11</v>
      </c>
    </row>
    <row r="89" spans="1:11" ht="20.25" customHeight="1" x14ac:dyDescent="0.2">
      <c r="A89" s="17" t="s">
        <v>423</v>
      </c>
      <c r="B89" s="352">
        <v>1</v>
      </c>
      <c r="C89" s="17">
        <v>500</v>
      </c>
      <c r="D89" s="17">
        <v>500</v>
      </c>
      <c r="E89" s="17">
        <v>500</v>
      </c>
      <c r="F89" s="351">
        <f>I89/C89</f>
        <v>20.12</v>
      </c>
      <c r="G89" s="351">
        <f t="shared" ref="G89:H90" si="7">J89/D89</f>
        <v>20.12</v>
      </c>
      <c r="H89" s="351">
        <f t="shared" si="7"/>
        <v>20.12</v>
      </c>
      <c r="I89" s="351">
        <v>10060</v>
      </c>
      <c r="J89" s="351">
        <v>10060</v>
      </c>
      <c r="K89" s="351">
        <v>10060</v>
      </c>
    </row>
    <row r="90" spans="1:11" ht="18.75" customHeight="1" x14ac:dyDescent="0.2">
      <c r="A90" s="17" t="s">
        <v>424</v>
      </c>
      <c r="B90" s="352">
        <v>2</v>
      </c>
      <c r="C90" s="17">
        <v>500</v>
      </c>
      <c r="D90" s="17">
        <v>500</v>
      </c>
      <c r="E90" s="17">
        <v>500</v>
      </c>
      <c r="F90" s="351">
        <f>I90/C90</f>
        <v>20.2</v>
      </c>
      <c r="G90" s="351">
        <f t="shared" si="7"/>
        <v>20.2</v>
      </c>
      <c r="H90" s="351">
        <f t="shared" si="7"/>
        <v>20.2</v>
      </c>
      <c r="I90" s="351">
        <v>10100</v>
      </c>
      <c r="J90" s="351">
        <v>10100</v>
      </c>
      <c r="K90" s="351">
        <v>10100</v>
      </c>
    </row>
    <row r="91" spans="1:11" ht="21" customHeight="1" x14ac:dyDescent="0.2">
      <c r="A91" s="17" t="s">
        <v>133</v>
      </c>
      <c r="B91" s="352">
        <v>9000</v>
      </c>
      <c r="C91" s="352" t="s">
        <v>11</v>
      </c>
      <c r="D91" s="352" t="s">
        <v>11</v>
      </c>
      <c r="E91" s="352" t="s">
        <v>11</v>
      </c>
      <c r="F91" s="352" t="s">
        <v>11</v>
      </c>
      <c r="G91" s="352" t="s">
        <v>11</v>
      </c>
      <c r="H91" s="352" t="s">
        <v>11</v>
      </c>
      <c r="I91" s="225">
        <f>SUM(I89:I90)</f>
        <v>20160</v>
      </c>
      <c r="J91" s="225">
        <f>SUM(J89:J90)</f>
        <v>20160</v>
      </c>
      <c r="K91" s="225">
        <f>SUM(K89:K90)</f>
        <v>20160</v>
      </c>
    </row>
    <row r="92" spans="1:11" ht="15.75" x14ac:dyDescent="0.25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</row>
    <row r="93" spans="1:11" ht="21.75" customHeight="1" x14ac:dyDescent="0.25">
      <c r="A93" s="76" t="s">
        <v>563</v>
      </c>
      <c r="B93" s="104"/>
      <c r="C93" s="104"/>
      <c r="D93" s="104"/>
      <c r="E93" s="104"/>
      <c r="F93" s="104"/>
      <c r="G93" s="66"/>
      <c r="H93" s="66"/>
      <c r="I93" s="66"/>
      <c r="J93" s="66"/>
      <c r="K93" s="66"/>
    </row>
    <row r="94" spans="1:11" ht="18.75" customHeight="1" x14ac:dyDescent="0.2">
      <c r="A94" s="373" t="s">
        <v>215</v>
      </c>
      <c r="B94" s="373" t="s">
        <v>1</v>
      </c>
      <c r="C94" s="373" t="s">
        <v>337</v>
      </c>
      <c r="D94" s="373"/>
      <c r="E94" s="373"/>
      <c r="F94" s="373" t="s">
        <v>338</v>
      </c>
      <c r="G94" s="373"/>
      <c r="H94" s="373"/>
      <c r="I94" s="373" t="s">
        <v>113</v>
      </c>
      <c r="J94" s="373"/>
      <c r="K94" s="373"/>
    </row>
    <row r="95" spans="1:11" ht="20.25" customHeight="1" x14ac:dyDescent="0.2">
      <c r="A95" s="373"/>
      <c r="B95" s="373"/>
      <c r="C95" s="352" t="s">
        <v>418</v>
      </c>
      <c r="D95" s="352" t="s">
        <v>548</v>
      </c>
      <c r="E95" s="352" t="s">
        <v>583</v>
      </c>
      <c r="F95" s="352" t="s">
        <v>418</v>
      </c>
      <c r="G95" s="352" t="s">
        <v>548</v>
      </c>
      <c r="H95" s="352" t="s">
        <v>583</v>
      </c>
      <c r="I95" s="352" t="s">
        <v>418</v>
      </c>
      <c r="J95" s="352" t="s">
        <v>548</v>
      </c>
      <c r="K95" s="352" t="s">
        <v>583</v>
      </c>
    </row>
    <row r="96" spans="1:11" ht="51.75" customHeight="1" x14ac:dyDescent="0.2">
      <c r="A96" s="373"/>
      <c r="B96" s="373"/>
      <c r="C96" s="352" t="s">
        <v>73</v>
      </c>
      <c r="D96" s="352" t="s">
        <v>74</v>
      </c>
      <c r="E96" s="352" t="s">
        <v>75</v>
      </c>
      <c r="F96" s="352" t="s">
        <v>73</v>
      </c>
      <c r="G96" s="352" t="s">
        <v>74</v>
      </c>
      <c r="H96" s="352" t="s">
        <v>75</v>
      </c>
      <c r="I96" s="352" t="s">
        <v>73</v>
      </c>
      <c r="J96" s="352" t="s">
        <v>74</v>
      </c>
      <c r="K96" s="352" t="s">
        <v>75</v>
      </c>
    </row>
    <row r="97" spans="1:11" ht="25.5" customHeight="1" x14ac:dyDescent="0.2">
      <c r="A97" s="352">
        <v>1</v>
      </c>
      <c r="B97" s="352">
        <v>2</v>
      </c>
      <c r="C97" s="352">
        <v>3</v>
      </c>
      <c r="D97" s="352">
        <v>4</v>
      </c>
      <c r="E97" s="352">
        <v>5</v>
      </c>
      <c r="F97" s="352">
        <v>6</v>
      </c>
      <c r="G97" s="352">
        <v>7</v>
      </c>
      <c r="H97" s="352">
        <v>8</v>
      </c>
      <c r="I97" s="352">
        <v>9</v>
      </c>
      <c r="J97" s="352">
        <v>10</v>
      </c>
      <c r="K97" s="352">
        <v>11</v>
      </c>
    </row>
    <row r="98" spans="1:11" ht="25.5" customHeight="1" x14ac:dyDescent="0.2">
      <c r="A98" s="103" t="s">
        <v>605</v>
      </c>
      <c r="B98" s="352"/>
      <c r="C98" s="352">
        <v>6</v>
      </c>
      <c r="D98" s="352">
        <v>0</v>
      </c>
      <c r="E98" s="352">
        <v>0</v>
      </c>
      <c r="F98" s="100">
        <f>I98/C98</f>
        <v>1063.6216666666667</v>
      </c>
      <c r="G98" s="100">
        <v>0</v>
      </c>
      <c r="H98" s="100">
        <v>0</v>
      </c>
      <c r="I98" s="70">
        <v>6381.73</v>
      </c>
      <c r="J98" s="70">
        <v>0</v>
      </c>
      <c r="K98" s="70">
        <v>0</v>
      </c>
    </row>
    <row r="99" spans="1:11" ht="22.5" customHeight="1" x14ac:dyDescent="0.2">
      <c r="A99" s="17" t="s">
        <v>133</v>
      </c>
      <c r="B99" s="352">
        <v>9000</v>
      </c>
      <c r="C99" s="352" t="s">
        <v>11</v>
      </c>
      <c r="D99" s="352" t="s">
        <v>11</v>
      </c>
      <c r="E99" s="352" t="s">
        <v>11</v>
      </c>
      <c r="F99" s="352" t="s">
        <v>11</v>
      </c>
      <c r="G99" s="352" t="s">
        <v>11</v>
      </c>
      <c r="H99" s="352" t="s">
        <v>11</v>
      </c>
      <c r="I99" s="225">
        <f>SUM(I98:I98)</f>
        <v>6381.73</v>
      </c>
      <c r="J99" s="225">
        <f>SUM(J98:J98)</f>
        <v>0</v>
      </c>
      <c r="K99" s="225">
        <f>SUM(K98:K98)</f>
        <v>0</v>
      </c>
    </row>
    <row r="100" spans="1:11" ht="15.75" x14ac:dyDescent="0.25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</row>
    <row r="101" spans="1:11" ht="15.75" x14ac:dyDescent="0.25">
      <c r="A101" s="96" t="s">
        <v>498</v>
      </c>
      <c r="B101" s="104"/>
      <c r="C101" s="66"/>
      <c r="D101" s="66"/>
      <c r="E101" s="66"/>
      <c r="F101" s="66"/>
      <c r="G101" s="66"/>
      <c r="H101" s="66"/>
      <c r="I101" s="66"/>
      <c r="J101" s="66"/>
      <c r="K101" s="66"/>
    </row>
    <row r="102" spans="1:11" ht="23.25" customHeight="1" x14ac:dyDescent="0.2">
      <c r="A102" s="373" t="s">
        <v>215</v>
      </c>
      <c r="B102" s="373" t="s">
        <v>1</v>
      </c>
      <c r="C102" s="373" t="s">
        <v>337</v>
      </c>
      <c r="D102" s="373"/>
      <c r="E102" s="373"/>
      <c r="F102" s="373" t="s">
        <v>338</v>
      </c>
      <c r="G102" s="373"/>
      <c r="H102" s="373"/>
      <c r="I102" s="373" t="s">
        <v>113</v>
      </c>
      <c r="J102" s="373"/>
      <c r="K102" s="373"/>
    </row>
    <row r="103" spans="1:11" ht="22.5" customHeight="1" x14ac:dyDescent="0.2">
      <c r="A103" s="373"/>
      <c r="B103" s="373"/>
      <c r="C103" s="352" t="s">
        <v>418</v>
      </c>
      <c r="D103" s="352" t="s">
        <v>548</v>
      </c>
      <c r="E103" s="352" t="s">
        <v>583</v>
      </c>
      <c r="F103" s="352" t="s">
        <v>418</v>
      </c>
      <c r="G103" s="352" t="s">
        <v>548</v>
      </c>
      <c r="H103" s="352" t="s">
        <v>583</v>
      </c>
      <c r="I103" s="352" t="s">
        <v>418</v>
      </c>
      <c r="J103" s="352" t="s">
        <v>548</v>
      </c>
      <c r="K103" s="352" t="s">
        <v>583</v>
      </c>
    </row>
    <row r="104" spans="1:11" ht="57" customHeight="1" x14ac:dyDescent="0.2">
      <c r="A104" s="373"/>
      <c r="B104" s="373"/>
      <c r="C104" s="352" t="s">
        <v>73</v>
      </c>
      <c r="D104" s="352" t="s">
        <v>74</v>
      </c>
      <c r="E104" s="352" t="s">
        <v>75</v>
      </c>
      <c r="F104" s="352" t="s">
        <v>73</v>
      </c>
      <c r="G104" s="352" t="s">
        <v>74</v>
      </c>
      <c r="H104" s="352" t="s">
        <v>75</v>
      </c>
      <c r="I104" s="352" t="s">
        <v>73</v>
      </c>
      <c r="J104" s="352" t="s">
        <v>74</v>
      </c>
      <c r="K104" s="352" t="s">
        <v>75</v>
      </c>
    </row>
    <row r="105" spans="1:11" ht="22.5" customHeight="1" x14ac:dyDescent="0.2">
      <c r="A105" s="352">
        <v>1</v>
      </c>
      <c r="B105" s="352">
        <v>2</v>
      </c>
      <c r="C105" s="352">
        <v>3</v>
      </c>
      <c r="D105" s="352">
        <v>4</v>
      </c>
      <c r="E105" s="352">
        <v>5</v>
      </c>
      <c r="F105" s="352">
        <v>6</v>
      </c>
      <c r="G105" s="352">
        <v>7</v>
      </c>
      <c r="H105" s="352">
        <v>8</v>
      </c>
      <c r="I105" s="352">
        <v>9</v>
      </c>
      <c r="J105" s="352">
        <v>10</v>
      </c>
      <c r="K105" s="352">
        <v>11</v>
      </c>
    </row>
    <row r="106" spans="1:11" ht="22.5" customHeight="1" x14ac:dyDescent="0.2">
      <c r="A106" s="352"/>
      <c r="B106" s="352">
        <v>1</v>
      </c>
      <c r="C106" s="69"/>
      <c r="D106" s="352"/>
      <c r="E106" s="352"/>
      <c r="F106" s="69"/>
      <c r="G106" s="352"/>
      <c r="H106" s="352"/>
      <c r="I106" s="351"/>
      <c r="J106" s="351"/>
      <c r="K106" s="351"/>
    </row>
    <row r="107" spans="1:11" ht="24.75" customHeight="1" x14ac:dyDescent="0.2">
      <c r="A107" s="17" t="s">
        <v>350</v>
      </c>
      <c r="B107" s="352">
        <v>2</v>
      </c>
      <c r="C107" s="17">
        <v>4000</v>
      </c>
      <c r="D107" s="17">
        <v>4000</v>
      </c>
      <c r="E107" s="17">
        <v>4000</v>
      </c>
      <c r="F107" s="351">
        <f>I107/C107</f>
        <v>133.15</v>
      </c>
      <c r="G107" s="351">
        <f t="shared" ref="G107:H107" si="8">J107/D107</f>
        <v>133.15</v>
      </c>
      <c r="H107" s="351">
        <f t="shared" si="8"/>
        <v>133.15</v>
      </c>
      <c r="I107" s="351">
        <v>532600</v>
      </c>
      <c r="J107" s="351">
        <v>532600</v>
      </c>
      <c r="K107" s="351">
        <v>532600</v>
      </c>
    </row>
    <row r="108" spans="1:11" ht="24" customHeight="1" x14ac:dyDescent="0.2">
      <c r="A108" s="17" t="s">
        <v>133</v>
      </c>
      <c r="B108" s="352">
        <v>9000</v>
      </c>
      <c r="C108" s="352" t="s">
        <v>11</v>
      </c>
      <c r="D108" s="352" t="s">
        <v>569</v>
      </c>
      <c r="E108" s="352" t="s">
        <v>11</v>
      </c>
      <c r="F108" s="352" t="s">
        <v>11</v>
      </c>
      <c r="G108" s="352" t="s">
        <v>11</v>
      </c>
      <c r="H108" s="352" t="s">
        <v>11</v>
      </c>
      <c r="I108" s="225">
        <f>SUM(I106:I107)</f>
        <v>532600</v>
      </c>
      <c r="J108" s="225">
        <f>SUM(J106:J107)</f>
        <v>532600</v>
      </c>
      <c r="K108" s="225">
        <f>SUM(K106:K107)</f>
        <v>532600</v>
      </c>
    </row>
    <row r="109" spans="1:11" ht="15.75" x14ac:dyDescent="0.25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</row>
    <row r="110" spans="1:11" ht="15.75" x14ac:dyDescent="0.25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</row>
    <row r="111" spans="1:11" ht="15.75" x14ac:dyDescent="0.25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</row>
    <row r="112" spans="1:11" ht="15.75" x14ac:dyDescent="0.25">
      <c r="A112" s="96" t="s">
        <v>511</v>
      </c>
      <c r="B112" s="76"/>
      <c r="C112" s="76"/>
      <c r="D112" s="104"/>
      <c r="E112" s="104"/>
      <c r="F112" s="66"/>
      <c r="G112" s="66"/>
      <c r="H112" s="66"/>
      <c r="I112" s="66"/>
      <c r="J112" s="66"/>
      <c r="K112" s="66"/>
    </row>
    <row r="113" spans="1:11" ht="15.75" x14ac:dyDescent="0.2">
      <c r="A113" s="373" t="s">
        <v>215</v>
      </c>
      <c r="B113" s="373" t="s">
        <v>1</v>
      </c>
      <c r="C113" s="373" t="s">
        <v>337</v>
      </c>
      <c r="D113" s="373"/>
      <c r="E113" s="373"/>
      <c r="F113" s="373" t="s">
        <v>338</v>
      </c>
      <c r="G113" s="373"/>
      <c r="H113" s="373"/>
      <c r="I113" s="373" t="s">
        <v>113</v>
      </c>
      <c r="J113" s="373"/>
      <c r="K113" s="373"/>
    </row>
    <row r="114" spans="1:11" ht="15.75" x14ac:dyDescent="0.2">
      <c r="A114" s="373"/>
      <c r="B114" s="373"/>
      <c r="C114" s="352" t="s">
        <v>418</v>
      </c>
      <c r="D114" s="352" t="s">
        <v>548</v>
      </c>
      <c r="E114" s="352" t="s">
        <v>583</v>
      </c>
      <c r="F114" s="352" t="s">
        <v>418</v>
      </c>
      <c r="G114" s="352" t="s">
        <v>548</v>
      </c>
      <c r="H114" s="352" t="s">
        <v>583</v>
      </c>
      <c r="I114" s="352" t="s">
        <v>418</v>
      </c>
      <c r="J114" s="352" t="s">
        <v>548</v>
      </c>
      <c r="K114" s="352" t="s">
        <v>583</v>
      </c>
    </row>
    <row r="115" spans="1:11" ht="47.25" x14ac:dyDescent="0.2">
      <c r="A115" s="373"/>
      <c r="B115" s="373"/>
      <c r="C115" s="352" t="s">
        <v>73</v>
      </c>
      <c r="D115" s="352" t="s">
        <v>74</v>
      </c>
      <c r="E115" s="352" t="s">
        <v>75</v>
      </c>
      <c r="F115" s="352" t="s">
        <v>73</v>
      </c>
      <c r="G115" s="352" t="s">
        <v>74</v>
      </c>
      <c r="H115" s="352" t="s">
        <v>75</v>
      </c>
      <c r="I115" s="352" t="s">
        <v>73</v>
      </c>
      <c r="J115" s="352" t="s">
        <v>74</v>
      </c>
      <c r="K115" s="352" t="s">
        <v>75</v>
      </c>
    </row>
    <row r="116" spans="1:11" ht="15.75" x14ac:dyDescent="0.2">
      <c r="A116" s="352">
        <v>1</v>
      </c>
      <c r="B116" s="352">
        <v>2</v>
      </c>
      <c r="C116" s="352">
        <v>3</v>
      </c>
      <c r="D116" s="352">
        <v>4</v>
      </c>
      <c r="E116" s="352">
        <v>5</v>
      </c>
      <c r="F116" s="352">
        <v>6</v>
      </c>
      <c r="G116" s="352">
        <v>7</v>
      </c>
      <c r="H116" s="352">
        <v>8</v>
      </c>
      <c r="I116" s="352">
        <v>9</v>
      </c>
      <c r="J116" s="352">
        <v>10</v>
      </c>
      <c r="K116" s="352">
        <v>11</v>
      </c>
    </row>
    <row r="117" spans="1:11" ht="15.75" x14ac:dyDescent="0.2">
      <c r="A117" s="352"/>
      <c r="B117" s="352">
        <v>1</v>
      </c>
      <c r="C117" s="69"/>
      <c r="D117" s="352"/>
      <c r="E117" s="352"/>
      <c r="F117" s="69"/>
      <c r="G117" s="352"/>
      <c r="H117" s="352"/>
      <c r="I117" s="351"/>
      <c r="J117" s="351"/>
      <c r="K117" s="351"/>
    </row>
    <row r="118" spans="1:11" ht="18.75" customHeight="1" x14ac:dyDescent="0.2">
      <c r="A118" s="17" t="s">
        <v>350</v>
      </c>
      <c r="B118" s="352">
        <v>1</v>
      </c>
      <c r="C118" s="17">
        <v>160</v>
      </c>
      <c r="D118" s="17">
        <v>0</v>
      </c>
      <c r="E118" s="17">
        <v>0</v>
      </c>
      <c r="F118" s="351">
        <f>I118/C118</f>
        <v>351.19475</v>
      </c>
      <c r="G118" s="351">
        <v>0</v>
      </c>
      <c r="H118" s="351">
        <v>0</v>
      </c>
      <c r="I118" s="351">
        <v>56191.16</v>
      </c>
      <c r="J118" s="351">
        <v>0</v>
      </c>
      <c r="K118" s="351">
        <v>0</v>
      </c>
    </row>
    <row r="119" spans="1:11" ht="22.5" customHeight="1" x14ac:dyDescent="0.2">
      <c r="A119" s="17" t="s">
        <v>133</v>
      </c>
      <c r="B119" s="352">
        <v>9000</v>
      </c>
      <c r="C119" s="352" t="s">
        <v>11</v>
      </c>
      <c r="D119" s="352" t="s">
        <v>11</v>
      </c>
      <c r="E119" s="352" t="s">
        <v>11</v>
      </c>
      <c r="F119" s="352" t="s">
        <v>11</v>
      </c>
      <c r="G119" s="352" t="s">
        <v>11</v>
      </c>
      <c r="H119" s="352" t="s">
        <v>11</v>
      </c>
      <c r="I119" s="225">
        <f>SUM(I117:I118)</f>
        <v>56191.16</v>
      </c>
      <c r="J119" s="225">
        <f>SUM(J117:J118)</f>
        <v>0</v>
      </c>
      <c r="K119" s="225">
        <f>SUM(K117:K118)</f>
        <v>0</v>
      </c>
    </row>
    <row r="120" spans="1:11" ht="12.75" customHeight="1" x14ac:dyDescent="0.25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</row>
    <row r="121" spans="1:11" ht="15.75" hidden="1" x14ac:dyDescent="0.25">
      <c r="A121" s="96" t="s">
        <v>501</v>
      </c>
      <c r="B121" s="76"/>
      <c r="C121" s="76"/>
      <c r="D121" s="66"/>
      <c r="E121" s="66"/>
      <c r="F121" s="66"/>
      <c r="G121" s="66"/>
      <c r="H121" s="66"/>
      <c r="I121" s="66"/>
      <c r="J121" s="66"/>
      <c r="K121" s="66"/>
    </row>
    <row r="122" spans="1:11" ht="15.75" hidden="1" x14ac:dyDescent="0.2">
      <c r="A122" s="373" t="s">
        <v>215</v>
      </c>
      <c r="B122" s="373" t="s">
        <v>1</v>
      </c>
      <c r="C122" s="373" t="s">
        <v>337</v>
      </c>
      <c r="D122" s="373"/>
      <c r="E122" s="373"/>
      <c r="F122" s="373" t="s">
        <v>338</v>
      </c>
      <c r="G122" s="373"/>
      <c r="H122" s="373"/>
      <c r="I122" s="373" t="s">
        <v>113</v>
      </c>
      <c r="J122" s="373"/>
      <c r="K122" s="373"/>
    </row>
    <row r="123" spans="1:11" ht="31.5" hidden="1" x14ac:dyDescent="0.2">
      <c r="A123" s="373"/>
      <c r="B123" s="373"/>
      <c r="C123" s="352" t="s">
        <v>417</v>
      </c>
      <c r="D123" s="352" t="s">
        <v>418</v>
      </c>
      <c r="E123" s="352" t="s">
        <v>548</v>
      </c>
      <c r="F123" s="352" t="s">
        <v>417</v>
      </c>
      <c r="G123" s="352" t="s">
        <v>418</v>
      </c>
      <c r="H123" s="352" t="s">
        <v>548</v>
      </c>
      <c r="I123" s="352" t="s">
        <v>417</v>
      </c>
      <c r="J123" s="352" t="s">
        <v>418</v>
      </c>
      <c r="K123" s="352" t="s">
        <v>548</v>
      </c>
    </row>
    <row r="124" spans="1:11" ht="94.5" hidden="1" x14ac:dyDescent="0.2">
      <c r="A124" s="373"/>
      <c r="B124" s="373"/>
      <c r="C124" s="352" t="s">
        <v>73</v>
      </c>
      <c r="D124" s="352" t="s">
        <v>74</v>
      </c>
      <c r="E124" s="352" t="s">
        <v>75</v>
      </c>
      <c r="F124" s="352" t="s">
        <v>73</v>
      </c>
      <c r="G124" s="352" t="s">
        <v>74</v>
      </c>
      <c r="H124" s="352" t="s">
        <v>75</v>
      </c>
      <c r="I124" s="352" t="s">
        <v>73</v>
      </c>
      <c r="J124" s="352" t="s">
        <v>74</v>
      </c>
      <c r="K124" s="352" t="s">
        <v>75</v>
      </c>
    </row>
    <row r="125" spans="1:11" ht="15.75" hidden="1" x14ac:dyDescent="0.2">
      <c r="A125" s="352">
        <v>1</v>
      </c>
      <c r="B125" s="352">
        <v>2</v>
      </c>
      <c r="C125" s="352">
        <v>3</v>
      </c>
      <c r="D125" s="352">
        <v>4</v>
      </c>
      <c r="E125" s="352">
        <v>5</v>
      </c>
      <c r="F125" s="352">
        <v>6</v>
      </c>
      <c r="G125" s="352">
        <v>7</v>
      </c>
      <c r="H125" s="352">
        <v>8</v>
      </c>
      <c r="I125" s="352">
        <v>9</v>
      </c>
      <c r="J125" s="352">
        <v>10</v>
      </c>
      <c r="K125" s="352">
        <v>11</v>
      </c>
    </row>
    <row r="126" spans="1:11" ht="15.75" hidden="1" x14ac:dyDescent="0.2">
      <c r="A126" s="352"/>
      <c r="B126" s="352">
        <v>1</v>
      </c>
      <c r="C126" s="69"/>
      <c r="D126" s="352"/>
      <c r="E126" s="352"/>
      <c r="F126" s="69"/>
      <c r="G126" s="352"/>
      <c r="H126" s="352"/>
      <c r="I126" s="351"/>
      <c r="J126" s="351"/>
      <c r="K126" s="351"/>
    </row>
    <row r="127" spans="1:11" ht="18.75" hidden="1" customHeight="1" x14ac:dyDescent="0.2">
      <c r="A127" s="17" t="s">
        <v>350</v>
      </c>
      <c r="B127" s="352">
        <v>2</v>
      </c>
      <c r="C127" s="17"/>
      <c r="D127" s="17"/>
      <c r="E127" s="17"/>
      <c r="F127" s="351"/>
      <c r="G127" s="351"/>
      <c r="H127" s="351"/>
      <c r="I127" s="351"/>
      <c r="J127" s="351"/>
      <c r="K127" s="351"/>
    </row>
    <row r="128" spans="1:11" ht="21" hidden="1" customHeight="1" x14ac:dyDescent="0.2">
      <c r="A128" s="17" t="s">
        <v>133</v>
      </c>
      <c r="B128" s="352">
        <v>9000</v>
      </c>
      <c r="C128" s="352" t="s">
        <v>11</v>
      </c>
      <c r="D128" s="352" t="s">
        <v>11</v>
      </c>
      <c r="E128" s="352" t="s">
        <v>11</v>
      </c>
      <c r="F128" s="352" t="s">
        <v>11</v>
      </c>
      <c r="G128" s="352" t="s">
        <v>11</v>
      </c>
      <c r="H128" s="352" t="s">
        <v>11</v>
      </c>
      <c r="I128" s="353">
        <f>SUM(I126:I127)</f>
        <v>0</v>
      </c>
      <c r="J128" s="353">
        <f>SUM(J126:J127)</f>
        <v>0</v>
      </c>
      <c r="K128" s="353">
        <f>SUM(K126:K127)</f>
        <v>0</v>
      </c>
    </row>
    <row r="129" spans="1:11" ht="15.75" hidden="1" x14ac:dyDescent="0.25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</row>
    <row r="130" spans="1:11" ht="8.25" customHeight="1" x14ac:dyDescent="0.25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</row>
    <row r="131" spans="1:11" ht="0.75" customHeight="1" x14ac:dyDescent="0.2"/>
    <row r="132" spans="1:11" ht="26.25" customHeight="1" x14ac:dyDescent="0.25">
      <c r="A132" s="96" t="s">
        <v>561</v>
      </c>
      <c r="B132" s="76"/>
      <c r="C132" s="76"/>
      <c r="D132" s="66"/>
      <c r="E132" s="66"/>
      <c r="F132" s="66"/>
      <c r="G132" s="66"/>
      <c r="H132" s="66"/>
      <c r="I132" s="66"/>
      <c r="J132" s="66"/>
      <c r="K132" s="66"/>
    </row>
    <row r="133" spans="1:11" ht="30" customHeight="1" x14ac:dyDescent="0.2">
      <c r="A133" s="373" t="s">
        <v>215</v>
      </c>
      <c r="B133" s="373" t="s">
        <v>1</v>
      </c>
      <c r="C133" s="373" t="s">
        <v>337</v>
      </c>
      <c r="D133" s="373"/>
      <c r="E133" s="373"/>
      <c r="F133" s="373" t="s">
        <v>338</v>
      </c>
      <c r="G133" s="373"/>
      <c r="H133" s="373"/>
      <c r="I133" s="373" t="s">
        <v>113</v>
      </c>
      <c r="J133" s="373"/>
      <c r="K133" s="373"/>
    </row>
    <row r="134" spans="1:11" ht="29.25" customHeight="1" x14ac:dyDescent="0.2">
      <c r="A134" s="373"/>
      <c r="B134" s="373"/>
      <c r="C134" s="352" t="s">
        <v>418</v>
      </c>
      <c r="D134" s="352" t="s">
        <v>548</v>
      </c>
      <c r="E134" s="352" t="s">
        <v>583</v>
      </c>
      <c r="F134" s="352" t="s">
        <v>418</v>
      </c>
      <c r="G134" s="352" t="s">
        <v>548</v>
      </c>
      <c r="H134" s="352" t="s">
        <v>583</v>
      </c>
      <c r="I134" s="352" t="s">
        <v>418</v>
      </c>
      <c r="J134" s="352" t="s">
        <v>548</v>
      </c>
      <c r="K134" s="352" t="s">
        <v>583</v>
      </c>
    </row>
    <row r="135" spans="1:11" ht="52.5" customHeight="1" x14ac:dyDescent="0.2">
      <c r="A135" s="373"/>
      <c r="B135" s="373"/>
      <c r="C135" s="352" t="s">
        <v>73</v>
      </c>
      <c r="D135" s="352" t="s">
        <v>74</v>
      </c>
      <c r="E135" s="352" t="s">
        <v>75</v>
      </c>
      <c r="F135" s="352" t="s">
        <v>73</v>
      </c>
      <c r="G135" s="352" t="s">
        <v>74</v>
      </c>
      <c r="H135" s="352" t="s">
        <v>75</v>
      </c>
      <c r="I135" s="352" t="s">
        <v>73</v>
      </c>
      <c r="J135" s="352" t="s">
        <v>74</v>
      </c>
      <c r="K135" s="352" t="s">
        <v>75</v>
      </c>
    </row>
    <row r="136" spans="1:11" ht="18" customHeight="1" x14ac:dyDescent="0.2">
      <c r="A136" s="352">
        <v>1</v>
      </c>
      <c r="B136" s="352">
        <v>2</v>
      </c>
      <c r="C136" s="352">
        <v>3</v>
      </c>
      <c r="D136" s="352">
        <v>4</v>
      </c>
      <c r="E136" s="352">
        <v>5</v>
      </c>
      <c r="F136" s="352">
        <v>6</v>
      </c>
      <c r="G136" s="352">
        <v>7</v>
      </c>
      <c r="H136" s="352">
        <v>8</v>
      </c>
      <c r="I136" s="352">
        <v>9</v>
      </c>
      <c r="J136" s="352">
        <v>10</v>
      </c>
      <c r="K136" s="352">
        <v>11</v>
      </c>
    </row>
    <row r="137" spans="1:11" ht="18" customHeight="1" x14ac:dyDescent="0.2">
      <c r="A137" s="352"/>
      <c r="B137" s="352">
        <v>1</v>
      </c>
      <c r="C137" s="69"/>
      <c r="D137" s="352"/>
      <c r="E137" s="352"/>
      <c r="F137" s="69"/>
      <c r="G137" s="352"/>
      <c r="H137" s="352"/>
      <c r="I137" s="351"/>
      <c r="J137" s="351"/>
      <c r="K137" s="351"/>
    </row>
    <row r="138" spans="1:11" ht="32.25" customHeight="1" x14ac:dyDescent="0.2">
      <c r="A138" s="17" t="s">
        <v>562</v>
      </c>
      <c r="B138" s="352">
        <v>2</v>
      </c>
      <c r="C138" s="352">
        <v>100</v>
      </c>
      <c r="D138" s="352">
        <v>100</v>
      </c>
      <c r="E138" s="352">
        <v>100</v>
      </c>
      <c r="F138" s="100">
        <f>I138/C138</f>
        <v>504</v>
      </c>
      <c r="G138" s="100">
        <f t="shared" ref="G138:H138" si="9">J138/D138</f>
        <v>504</v>
      </c>
      <c r="H138" s="100">
        <f t="shared" si="9"/>
        <v>504</v>
      </c>
      <c r="I138" s="351">
        <v>50400</v>
      </c>
      <c r="J138" s="351">
        <v>50400</v>
      </c>
      <c r="K138" s="351">
        <v>50400</v>
      </c>
    </row>
    <row r="139" spans="1:11" ht="1.5" hidden="1" customHeight="1" x14ac:dyDescent="0.2">
      <c r="A139" s="17" t="s">
        <v>512</v>
      </c>
      <c r="B139" s="352"/>
      <c r="C139" s="352"/>
      <c r="D139" s="17"/>
      <c r="E139" s="17"/>
      <c r="F139" s="100"/>
      <c r="G139" s="351"/>
      <c r="H139" s="351"/>
      <c r="I139" s="351"/>
      <c r="J139" s="351"/>
      <c r="K139" s="351"/>
    </row>
    <row r="140" spans="1:11" ht="41.25" hidden="1" customHeight="1" x14ac:dyDescent="0.2">
      <c r="A140" s="17" t="s">
        <v>514</v>
      </c>
      <c r="B140" s="352"/>
      <c r="C140" s="352"/>
      <c r="D140" s="17"/>
      <c r="E140" s="17"/>
      <c r="F140" s="100"/>
      <c r="G140" s="351"/>
      <c r="H140" s="351"/>
      <c r="I140" s="351"/>
      <c r="J140" s="351"/>
      <c r="K140" s="351"/>
    </row>
    <row r="141" spans="1:11" ht="30.75" hidden="1" customHeight="1" x14ac:dyDescent="0.2">
      <c r="A141" s="17" t="s">
        <v>517</v>
      </c>
      <c r="B141" s="352"/>
      <c r="C141" s="352"/>
      <c r="D141" s="17"/>
      <c r="E141" s="17"/>
      <c r="F141" s="100"/>
      <c r="G141" s="351"/>
      <c r="H141" s="351"/>
      <c r="I141" s="351"/>
      <c r="J141" s="351"/>
      <c r="K141" s="351"/>
    </row>
    <row r="142" spans="1:11" ht="25.5" customHeight="1" x14ac:dyDescent="0.2">
      <c r="A142" s="17" t="s">
        <v>133</v>
      </c>
      <c r="B142" s="352">
        <v>9000</v>
      </c>
      <c r="C142" s="352" t="s">
        <v>11</v>
      </c>
      <c r="D142" s="352" t="s">
        <v>11</v>
      </c>
      <c r="E142" s="352" t="s">
        <v>11</v>
      </c>
      <c r="F142" s="352" t="s">
        <v>11</v>
      </c>
      <c r="G142" s="352" t="s">
        <v>11</v>
      </c>
      <c r="H142" s="352" t="s">
        <v>11</v>
      </c>
      <c r="I142" s="225">
        <f>I138+I139+I140+I141</f>
        <v>50400</v>
      </c>
      <c r="J142" s="225">
        <f>SUM(J137:J138)</f>
        <v>50400</v>
      </c>
      <c r="K142" s="225">
        <f>SUM(K137:K138)</f>
        <v>50400</v>
      </c>
    </row>
    <row r="143" spans="1:11" ht="11.25" customHeight="1" x14ac:dyDescent="0.2"/>
    <row r="144" spans="1:11" hidden="1" x14ac:dyDescent="0.2"/>
    <row r="145" spans="1:11" hidden="1" x14ac:dyDescent="0.2"/>
    <row r="146" spans="1:11" ht="15.75" hidden="1" x14ac:dyDescent="0.25">
      <c r="A146" s="96" t="s">
        <v>529</v>
      </c>
      <c r="B146" s="76"/>
      <c r="C146" s="66"/>
      <c r="D146" s="66"/>
      <c r="E146" s="66"/>
      <c r="F146" s="66"/>
      <c r="G146" s="66"/>
      <c r="H146" s="66"/>
      <c r="I146" s="66"/>
      <c r="J146" s="66"/>
      <c r="K146" s="66"/>
    </row>
    <row r="147" spans="1:11" ht="15.75" hidden="1" x14ac:dyDescent="0.2">
      <c r="A147" s="373" t="s">
        <v>215</v>
      </c>
      <c r="B147" s="373" t="s">
        <v>1</v>
      </c>
      <c r="C147" s="373" t="s">
        <v>337</v>
      </c>
      <c r="D147" s="373"/>
      <c r="E147" s="373"/>
      <c r="F147" s="373" t="s">
        <v>338</v>
      </c>
      <c r="G147" s="373"/>
      <c r="H147" s="373"/>
      <c r="I147" s="373" t="s">
        <v>113</v>
      </c>
      <c r="J147" s="373"/>
      <c r="K147" s="373"/>
    </row>
    <row r="148" spans="1:11" ht="31.5" hidden="1" x14ac:dyDescent="0.2">
      <c r="A148" s="373"/>
      <c r="B148" s="373"/>
      <c r="C148" s="352" t="s">
        <v>417</v>
      </c>
      <c r="D148" s="352" t="s">
        <v>418</v>
      </c>
      <c r="E148" s="352" t="s">
        <v>548</v>
      </c>
      <c r="F148" s="352" t="s">
        <v>417</v>
      </c>
      <c r="G148" s="352" t="s">
        <v>418</v>
      </c>
      <c r="H148" s="352" t="s">
        <v>548</v>
      </c>
      <c r="I148" s="352" t="s">
        <v>417</v>
      </c>
      <c r="J148" s="352" t="s">
        <v>418</v>
      </c>
      <c r="K148" s="352" t="s">
        <v>548</v>
      </c>
    </row>
    <row r="149" spans="1:11" ht="94.5" hidden="1" x14ac:dyDescent="0.2">
      <c r="A149" s="373"/>
      <c r="B149" s="373"/>
      <c r="C149" s="352" t="s">
        <v>73</v>
      </c>
      <c r="D149" s="352" t="s">
        <v>74</v>
      </c>
      <c r="E149" s="352" t="s">
        <v>75</v>
      </c>
      <c r="F149" s="352" t="s">
        <v>73</v>
      </c>
      <c r="G149" s="352" t="s">
        <v>74</v>
      </c>
      <c r="H149" s="352" t="s">
        <v>75</v>
      </c>
      <c r="I149" s="352" t="s">
        <v>73</v>
      </c>
      <c r="J149" s="352" t="s">
        <v>74</v>
      </c>
      <c r="K149" s="352" t="s">
        <v>75</v>
      </c>
    </row>
    <row r="150" spans="1:11" ht="15.75" hidden="1" x14ac:dyDescent="0.2">
      <c r="A150" s="352">
        <v>1</v>
      </c>
      <c r="B150" s="352">
        <v>2</v>
      </c>
      <c r="C150" s="352">
        <v>3</v>
      </c>
      <c r="D150" s="352">
        <v>4</v>
      </c>
      <c r="E150" s="352">
        <v>5</v>
      </c>
      <c r="F150" s="352">
        <v>6</v>
      </c>
      <c r="G150" s="352">
        <v>7</v>
      </c>
      <c r="H150" s="352">
        <v>8</v>
      </c>
      <c r="I150" s="352">
        <v>9</v>
      </c>
      <c r="J150" s="352">
        <v>10</v>
      </c>
      <c r="K150" s="352">
        <v>11</v>
      </c>
    </row>
    <row r="151" spans="1:11" ht="15.75" hidden="1" x14ac:dyDescent="0.2">
      <c r="A151" s="17" t="s">
        <v>515</v>
      </c>
      <c r="B151" s="352">
        <v>2</v>
      </c>
      <c r="C151" s="17"/>
      <c r="D151" s="17"/>
      <c r="E151" s="17"/>
      <c r="F151" s="351"/>
      <c r="G151" s="351"/>
      <c r="H151" s="351"/>
      <c r="I151" s="351"/>
      <c r="J151" s="351"/>
      <c r="K151" s="351"/>
    </row>
    <row r="152" spans="1:11" ht="15.75" hidden="1" x14ac:dyDescent="0.2">
      <c r="A152" s="17"/>
      <c r="B152" s="352">
        <v>3</v>
      </c>
      <c r="C152" s="17"/>
      <c r="D152" s="17"/>
      <c r="E152" s="17"/>
      <c r="F152" s="351"/>
      <c r="G152" s="351"/>
      <c r="H152" s="351"/>
      <c r="I152" s="351"/>
      <c r="J152" s="351"/>
      <c r="K152" s="351"/>
    </row>
    <row r="153" spans="1:11" ht="15.75" hidden="1" x14ac:dyDescent="0.2">
      <c r="A153" s="17" t="s">
        <v>133</v>
      </c>
      <c r="B153" s="352">
        <v>9000</v>
      </c>
      <c r="C153" s="352" t="s">
        <v>11</v>
      </c>
      <c r="D153" s="352" t="s">
        <v>11</v>
      </c>
      <c r="E153" s="352" t="s">
        <v>11</v>
      </c>
      <c r="F153" s="352" t="s">
        <v>11</v>
      </c>
      <c r="G153" s="352" t="s">
        <v>11</v>
      </c>
      <c r="H153" s="352" t="s">
        <v>11</v>
      </c>
      <c r="I153" s="353">
        <f>SUM(I151:I152)</f>
        <v>0</v>
      </c>
      <c r="J153" s="353">
        <f>SUM(J151:J152)</f>
        <v>0</v>
      </c>
      <c r="K153" s="353">
        <f>SUM(K151:K152)</f>
        <v>0</v>
      </c>
    </row>
    <row r="155" spans="1:11" ht="15.75" x14ac:dyDescent="0.25">
      <c r="A155" s="96" t="s">
        <v>577</v>
      </c>
      <c r="B155" s="76"/>
      <c r="C155" s="76"/>
      <c r="D155" s="104"/>
      <c r="E155" s="66"/>
      <c r="F155" s="66"/>
      <c r="G155" s="66"/>
      <c r="H155" s="66"/>
      <c r="I155" s="66"/>
      <c r="J155" s="66"/>
      <c r="K155" s="66"/>
    </row>
    <row r="156" spans="1:11" ht="15.75" x14ac:dyDescent="0.2">
      <c r="A156" s="373" t="s">
        <v>215</v>
      </c>
      <c r="B156" s="373" t="s">
        <v>1</v>
      </c>
      <c r="C156" s="373" t="s">
        <v>337</v>
      </c>
      <c r="D156" s="373"/>
      <c r="E156" s="373"/>
      <c r="F156" s="373" t="s">
        <v>338</v>
      </c>
      <c r="G156" s="373"/>
      <c r="H156" s="373"/>
      <c r="I156" s="373" t="s">
        <v>113</v>
      </c>
      <c r="J156" s="373"/>
      <c r="K156" s="373"/>
    </row>
    <row r="157" spans="1:11" ht="15.75" x14ac:dyDescent="0.2">
      <c r="A157" s="373"/>
      <c r="B157" s="373"/>
      <c r="C157" s="352" t="s">
        <v>418</v>
      </c>
      <c r="D157" s="352" t="s">
        <v>548</v>
      </c>
      <c r="E157" s="352" t="s">
        <v>583</v>
      </c>
      <c r="F157" s="352" t="s">
        <v>418</v>
      </c>
      <c r="G157" s="352" t="s">
        <v>548</v>
      </c>
      <c r="H157" s="352" t="s">
        <v>583</v>
      </c>
      <c r="I157" s="352" t="s">
        <v>418</v>
      </c>
      <c r="J157" s="352" t="s">
        <v>548</v>
      </c>
      <c r="K157" s="352" t="s">
        <v>583</v>
      </c>
    </row>
    <row r="158" spans="1:11" ht="47.25" x14ac:dyDescent="0.2">
      <c r="A158" s="373"/>
      <c r="B158" s="373"/>
      <c r="C158" s="352" t="s">
        <v>73</v>
      </c>
      <c r="D158" s="352" t="s">
        <v>74</v>
      </c>
      <c r="E158" s="352" t="s">
        <v>75</v>
      </c>
      <c r="F158" s="352" t="s">
        <v>73</v>
      </c>
      <c r="G158" s="352" t="s">
        <v>74</v>
      </c>
      <c r="H158" s="352" t="s">
        <v>75</v>
      </c>
      <c r="I158" s="352" t="s">
        <v>73</v>
      </c>
      <c r="J158" s="352" t="s">
        <v>74</v>
      </c>
      <c r="K158" s="352" t="s">
        <v>75</v>
      </c>
    </row>
    <row r="159" spans="1:11" ht="15.75" x14ac:dyDescent="0.2">
      <c r="A159" s="352">
        <v>1</v>
      </c>
      <c r="B159" s="352">
        <v>2</v>
      </c>
      <c r="C159" s="352">
        <v>3</v>
      </c>
      <c r="D159" s="352">
        <v>4</v>
      </c>
      <c r="E159" s="352">
        <v>5</v>
      </c>
      <c r="F159" s="352">
        <v>6</v>
      </c>
      <c r="G159" s="352">
        <v>7</v>
      </c>
      <c r="H159" s="352">
        <v>8</v>
      </c>
      <c r="I159" s="352">
        <v>9</v>
      </c>
      <c r="J159" s="352">
        <v>10</v>
      </c>
      <c r="K159" s="352">
        <v>11</v>
      </c>
    </row>
    <row r="160" spans="1:11" ht="15.75" x14ac:dyDescent="0.2">
      <c r="A160" s="352"/>
      <c r="B160" s="352">
        <v>1</v>
      </c>
      <c r="C160" s="69"/>
      <c r="D160" s="352"/>
      <c r="E160" s="352"/>
      <c r="F160" s="69"/>
      <c r="G160" s="352"/>
      <c r="H160" s="352"/>
      <c r="I160" s="351"/>
      <c r="J160" s="351"/>
      <c r="K160" s="351"/>
    </row>
    <row r="161" spans="1:11" ht="15.75" x14ac:dyDescent="0.2">
      <c r="A161" s="17" t="s">
        <v>576</v>
      </c>
      <c r="B161" s="352">
        <v>2</v>
      </c>
      <c r="C161" s="352">
        <v>100</v>
      </c>
      <c r="D161" s="17">
        <v>0</v>
      </c>
      <c r="E161" s="17">
        <v>0</v>
      </c>
      <c r="F161" s="100">
        <f>I161/C161</f>
        <v>3</v>
      </c>
      <c r="G161" s="351">
        <v>0</v>
      </c>
      <c r="H161" s="351">
        <v>0</v>
      </c>
      <c r="I161" s="351">
        <v>300</v>
      </c>
      <c r="J161" s="351">
        <v>0</v>
      </c>
      <c r="K161" s="351">
        <v>0</v>
      </c>
    </row>
    <row r="162" spans="1:11" ht="15.75" x14ac:dyDescent="0.2">
      <c r="A162" s="17" t="s">
        <v>133</v>
      </c>
      <c r="B162" s="352">
        <v>9000</v>
      </c>
      <c r="C162" s="352" t="s">
        <v>11</v>
      </c>
      <c r="D162" s="352" t="s">
        <v>11</v>
      </c>
      <c r="E162" s="352" t="s">
        <v>11</v>
      </c>
      <c r="F162" s="352" t="s">
        <v>11</v>
      </c>
      <c r="G162" s="352" t="s">
        <v>11</v>
      </c>
      <c r="H162" s="352" t="s">
        <v>11</v>
      </c>
      <c r="I162" s="225">
        <f>I161</f>
        <v>300</v>
      </c>
      <c r="J162" s="225"/>
      <c r="K162" s="225"/>
    </row>
    <row r="164" spans="1:11" ht="15.75" x14ac:dyDescent="0.25">
      <c r="A164" s="96" t="s">
        <v>635</v>
      </c>
      <c r="B164" s="76"/>
      <c r="C164" s="76"/>
      <c r="D164" s="104"/>
      <c r="E164" s="66"/>
      <c r="F164" s="66"/>
      <c r="G164" s="66"/>
      <c r="H164" s="66"/>
      <c r="I164" s="66"/>
      <c r="J164" s="66"/>
      <c r="K164" s="66"/>
    </row>
    <row r="165" spans="1:11" ht="15.75" x14ac:dyDescent="0.2">
      <c r="A165" s="373" t="s">
        <v>215</v>
      </c>
      <c r="B165" s="373" t="s">
        <v>1</v>
      </c>
      <c r="C165" s="373" t="s">
        <v>337</v>
      </c>
      <c r="D165" s="373"/>
      <c r="E165" s="373"/>
      <c r="F165" s="373" t="s">
        <v>338</v>
      </c>
      <c r="G165" s="373"/>
      <c r="H165" s="373"/>
      <c r="I165" s="373" t="s">
        <v>113</v>
      </c>
      <c r="J165" s="373"/>
      <c r="K165" s="373"/>
    </row>
    <row r="166" spans="1:11" ht="15.75" x14ac:dyDescent="0.2">
      <c r="A166" s="373"/>
      <c r="B166" s="373"/>
      <c r="C166" s="355" t="s">
        <v>418</v>
      </c>
      <c r="D166" s="355" t="s">
        <v>548</v>
      </c>
      <c r="E166" s="355" t="s">
        <v>583</v>
      </c>
      <c r="F166" s="355" t="s">
        <v>418</v>
      </c>
      <c r="G166" s="355" t="s">
        <v>548</v>
      </c>
      <c r="H166" s="355" t="s">
        <v>583</v>
      </c>
      <c r="I166" s="355" t="s">
        <v>418</v>
      </c>
      <c r="J166" s="355" t="s">
        <v>548</v>
      </c>
      <c r="K166" s="355" t="s">
        <v>583</v>
      </c>
    </row>
    <row r="167" spans="1:11" ht="47.25" x14ac:dyDescent="0.2">
      <c r="A167" s="373"/>
      <c r="B167" s="373"/>
      <c r="C167" s="355" t="s">
        <v>73</v>
      </c>
      <c r="D167" s="355" t="s">
        <v>74</v>
      </c>
      <c r="E167" s="355" t="s">
        <v>75</v>
      </c>
      <c r="F167" s="355" t="s">
        <v>73</v>
      </c>
      <c r="G167" s="355" t="s">
        <v>74</v>
      </c>
      <c r="H167" s="355" t="s">
        <v>75</v>
      </c>
      <c r="I167" s="355" t="s">
        <v>73</v>
      </c>
      <c r="J167" s="355" t="s">
        <v>74</v>
      </c>
      <c r="K167" s="355" t="s">
        <v>75</v>
      </c>
    </row>
    <row r="168" spans="1:11" ht="15.75" x14ac:dyDescent="0.2">
      <c r="A168" s="355">
        <v>1</v>
      </c>
      <c r="B168" s="355">
        <v>2</v>
      </c>
      <c r="C168" s="355">
        <v>3</v>
      </c>
      <c r="D168" s="355">
        <v>4</v>
      </c>
      <c r="E168" s="355">
        <v>5</v>
      </c>
      <c r="F168" s="355">
        <v>6</v>
      </c>
      <c r="G168" s="355">
        <v>7</v>
      </c>
      <c r="H168" s="355">
        <v>8</v>
      </c>
      <c r="I168" s="355">
        <v>9</v>
      </c>
      <c r="J168" s="355">
        <v>10</v>
      </c>
      <c r="K168" s="355">
        <v>11</v>
      </c>
    </row>
    <row r="169" spans="1:11" ht="15.75" x14ac:dyDescent="0.2">
      <c r="A169" s="355" t="s">
        <v>636</v>
      </c>
      <c r="B169" s="355">
        <v>1</v>
      </c>
      <c r="C169" s="355">
        <v>350</v>
      </c>
      <c r="D169" s="355"/>
      <c r="E169" s="355"/>
      <c r="F169" s="355">
        <v>1242.9000000000001</v>
      </c>
      <c r="G169" s="355"/>
      <c r="H169" s="355"/>
      <c r="I169" s="100">
        <v>435013.8</v>
      </c>
      <c r="J169" s="354"/>
      <c r="K169" s="354"/>
    </row>
    <row r="170" spans="1:11" ht="15.75" x14ac:dyDescent="0.2">
      <c r="A170" s="17" t="s">
        <v>637</v>
      </c>
      <c r="B170" s="355">
        <v>2</v>
      </c>
      <c r="C170" s="355">
        <v>150</v>
      </c>
      <c r="D170" s="355">
        <v>0</v>
      </c>
      <c r="E170" s="355">
        <v>0</v>
      </c>
      <c r="F170" s="100">
        <f>I170/C170</f>
        <v>4534.1333333333332</v>
      </c>
      <c r="G170" s="100">
        <v>0</v>
      </c>
      <c r="H170" s="100">
        <v>0</v>
      </c>
      <c r="I170" s="100">
        <v>680120</v>
      </c>
      <c r="J170" s="354">
        <v>0</v>
      </c>
      <c r="K170" s="354">
        <v>0</v>
      </c>
    </row>
    <row r="171" spans="1:11" ht="15.75" x14ac:dyDescent="0.2">
      <c r="A171" s="17" t="s">
        <v>133</v>
      </c>
      <c r="B171" s="355">
        <v>9000</v>
      </c>
      <c r="C171" s="355" t="s">
        <v>11</v>
      </c>
      <c r="D171" s="355" t="s">
        <v>11</v>
      </c>
      <c r="E171" s="355" t="s">
        <v>11</v>
      </c>
      <c r="F171" s="355" t="s">
        <v>11</v>
      </c>
      <c r="G171" s="355" t="s">
        <v>11</v>
      </c>
      <c r="H171" s="355" t="s">
        <v>11</v>
      </c>
      <c r="I171" s="446">
        <f>I170+I169</f>
        <v>1115133.8</v>
      </c>
      <c r="J171" s="225"/>
      <c r="K171" s="225"/>
    </row>
    <row r="174" spans="1:11" ht="15.75" x14ac:dyDescent="0.25">
      <c r="I174" s="251">
        <f>I14+I27+I43+I72+I63+I82+I91+I99+I108+I119+I142+I162+I171</f>
        <v>2740168.17</v>
      </c>
      <c r="J174" s="251">
        <f t="shared" ref="J174:K174" si="10">J14+J27+J43+J72+J63+J82+J91+J99+J108+J119+J142+J162</f>
        <v>1552161.48</v>
      </c>
      <c r="K174" s="251">
        <f t="shared" si="10"/>
        <v>1552161.48</v>
      </c>
    </row>
  </sheetData>
  <mergeCells count="80">
    <mergeCell ref="A165:A167"/>
    <mergeCell ref="B165:B167"/>
    <mergeCell ref="C165:E165"/>
    <mergeCell ref="F165:H165"/>
    <mergeCell ref="I165:K165"/>
    <mergeCell ref="A147:A149"/>
    <mergeCell ref="B147:B149"/>
    <mergeCell ref="C147:E147"/>
    <mergeCell ref="F147:H147"/>
    <mergeCell ref="I147:K147"/>
    <mergeCell ref="A17:A19"/>
    <mergeCell ref="B17:B19"/>
    <mergeCell ref="C17:E17"/>
    <mergeCell ref="F17:H17"/>
    <mergeCell ref="I122:K122"/>
    <mergeCell ref="A30:A32"/>
    <mergeCell ref="B30:B32"/>
    <mergeCell ref="C30:E30"/>
    <mergeCell ref="F30:H30"/>
    <mergeCell ref="I17:K17"/>
    <mergeCell ref="I30:K30"/>
    <mergeCell ref="F113:H113"/>
    <mergeCell ref="A122:A124"/>
    <mergeCell ref="B122:B124"/>
    <mergeCell ref="C122:E122"/>
    <mergeCell ref="F122:H122"/>
    <mergeCell ref="A4:A6"/>
    <mergeCell ref="B4:B6"/>
    <mergeCell ref="C4:E4"/>
    <mergeCell ref="F4:H4"/>
    <mergeCell ref="I4:K4"/>
    <mergeCell ref="I94:K94"/>
    <mergeCell ref="A47:A49"/>
    <mergeCell ref="B47:B49"/>
    <mergeCell ref="C47:E47"/>
    <mergeCell ref="F47:H47"/>
    <mergeCell ref="I47:K47"/>
    <mergeCell ref="A57:A59"/>
    <mergeCell ref="B57:B59"/>
    <mergeCell ref="C57:E57"/>
    <mergeCell ref="F57:H57"/>
    <mergeCell ref="I57:K57"/>
    <mergeCell ref="B75:B77"/>
    <mergeCell ref="C75:E75"/>
    <mergeCell ref="F75:H75"/>
    <mergeCell ref="A94:A96"/>
    <mergeCell ref="B94:B96"/>
    <mergeCell ref="C94:E94"/>
    <mergeCell ref="F94:H94"/>
    <mergeCell ref="A66:A68"/>
    <mergeCell ref="B66:B68"/>
    <mergeCell ref="C66:E66"/>
    <mergeCell ref="F66:H66"/>
    <mergeCell ref="A75:A77"/>
    <mergeCell ref="I66:K66"/>
    <mergeCell ref="I113:K113"/>
    <mergeCell ref="I75:K75"/>
    <mergeCell ref="A102:A104"/>
    <mergeCell ref="B102:B104"/>
    <mergeCell ref="C102:E102"/>
    <mergeCell ref="F102:H102"/>
    <mergeCell ref="I102:K102"/>
    <mergeCell ref="A113:A115"/>
    <mergeCell ref="B113:B115"/>
    <mergeCell ref="C113:E113"/>
    <mergeCell ref="A85:A87"/>
    <mergeCell ref="B85:B87"/>
    <mergeCell ref="C85:E85"/>
    <mergeCell ref="F85:H85"/>
    <mergeCell ref="I85:K85"/>
    <mergeCell ref="A133:A135"/>
    <mergeCell ref="B133:B135"/>
    <mergeCell ref="C133:E133"/>
    <mergeCell ref="F133:H133"/>
    <mergeCell ref="I133:K133"/>
    <mergeCell ref="A156:A158"/>
    <mergeCell ref="B156:B158"/>
    <mergeCell ref="C156:E156"/>
    <mergeCell ref="F156:H156"/>
    <mergeCell ref="I156:K156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3"/>
  <sheetViews>
    <sheetView workbookViewId="0">
      <selection activeCell="D42" sqref="D42"/>
    </sheetView>
  </sheetViews>
  <sheetFormatPr defaultRowHeight="12.75" x14ac:dyDescent="0.2"/>
  <cols>
    <col min="1" max="1" width="31.5703125" style="3" customWidth="1"/>
    <col min="2" max="2" width="9.140625" style="3"/>
    <col min="3" max="11" width="13.140625" style="3" customWidth="1"/>
    <col min="12" max="16384" width="9.140625" style="3"/>
  </cols>
  <sheetData>
    <row r="1" spans="1:11" x14ac:dyDescent="0.2">
      <c r="A1" s="3" t="s">
        <v>134</v>
      </c>
    </row>
    <row r="3" spans="1:11" x14ac:dyDescent="0.2">
      <c r="A3" s="388" t="s">
        <v>126</v>
      </c>
      <c r="B3" s="388" t="s">
        <v>1</v>
      </c>
      <c r="C3" s="388" t="s">
        <v>127</v>
      </c>
      <c r="D3" s="388"/>
      <c r="E3" s="388"/>
      <c r="F3" s="388" t="s">
        <v>128</v>
      </c>
      <c r="G3" s="388"/>
      <c r="H3" s="388"/>
      <c r="I3" s="388" t="s">
        <v>129</v>
      </c>
      <c r="J3" s="388"/>
      <c r="K3" s="388"/>
    </row>
    <row r="4" spans="1:11" x14ac:dyDescent="0.2">
      <c r="A4" s="388"/>
      <c r="B4" s="388"/>
      <c r="C4" s="108" t="s">
        <v>417</v>
      </c>
      <c r="D4" s="108" t="s">
        <v>418</v>
      </c>
      <c r="E4" s="108" t="s">
        <v>548</v>
      </c>
      <c r="F4" s="108" t="s">
        <v>417</v>
      </c>
      <c r="G4" s="108" t="s">
        <v>418</v>
      </c>
      <c r="H4" s="108" t="s">
        <v>548</v>
      </c>
      <c r="I4" s="108" t="s">
        <v>417</v>
      </c>
      <c r="J4" s="16" t="s">
        <v>418</v>
      </c>
      <c r="K4" s="16" t="s">
        <v>548</v>
      </c>
    </row>
    <row r="5" spans="1:11" ht="38.25" x14ac:dyDescent="0.2">
      <c r="A5" s="388"/>
      <c r="B5" s="388"/>
      <c r="C5" s="2" t="s">
        <v>73</v>
      </c>
      <c r="D5" s="2" t="s">
        <v>74</v>
      </c>
      <c r="E5" s="2" t="s">
        <v>75</v>
      </c>
      <c r="F5" s="2" t="s">
        <v>73</v>
      </c>
      <c r="G5" s="2" t="s">
        <v>74</v>
      </c>
      <c r="H5" s="2" t="s">
        <v>75</v>
      </c>
      <c r="I5" s="2" t="s">
        <v>73</v>
      </c>
      <c r="J5" s="2" t="s">
        <v>74</v>
      </c>
      <c r="K5" s="2" t="s">
        <v>75</v>
      </c>
    </row>
    <row r="6" spans="1:11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 ht="19.5" customHeight="1" x14ac:dyDescent="0.2">
      <c r="A7" s="6" t="s">
        <v>130</v>
      </c>
      <c r="B7" s="2">
        <v>100</v>
      </c>
      <c r="C7" s="2" t="s">
        <v>11</v>
      </c>
      <c r="D7" s="2" t="s">
        <v>11</v>
      </c>
      <c r="E7" s="2" t="s">
        <v>11</v>
      </c>
      <c r="F7" s="2" t="s">
        <v>11</v>
      </c>
      <c r="G7" s="2" t="s">
        <v>11</v>
      </c>
      <c r="H7" s="2" t="s">
        <v>11</v>
      </c>
      <c r="I7" s="6"/>
      <c r="J7" s="6"/>
      <c r="K7" s="6"/>
    </row>
    <row r="8" spans="1:11" ht="15.75" customHeight="1" x14ac:dyDescent="0.2">
      <c r="A8" s="6" t="s">
        <v>131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2">
      <c r="A9" s="6"/>
      <c r="B9" s="2">
        <v>101</v>
      </c>
      <c r="C9" s="6"/>
      <c r="D9" s="6"/>
      <c r="E9" s="6"/>
      <c r="F9" s="6"/>
      <c r="G9" s="6"/>
      <c r="H9" s="6"/>
      <c r="I9" s="6"/>
      <c r="J9" s="6"/>
      <c r="K9" s="6"/>
    </row>
    <row r="10" spans="1:11" ht="23.25" customHeight="1" x14ac:dyDescent="0.2">
      <c r="A10" s="6" t="s">
        <v>132</v>
      </c>
      <c r="B10" s="2">
        <v>200</v>
      </c>
      <c r="C10" s="2" t="s">
        <v>11</v>
      </c>
      <c r="D10" s="2" t="s">
        <v>11</v>
      </c>
      <c r="E10" s="2" t="s">
        <v>11</v>
      </c>
      <c r="F10" s="2" t="s">
        <v>11</v>
      </c>
      <c r="G10" s="2" t="s">
        <v>11</v>
      </c>
      <c r="H10" s="2" t="s">
        <v>11</v>
      </c>
      <c r="I10" s="6"/>
      <c r="J10" s="6"/>
      <c r="K10" s="6"/>
    </row>
    <row r="11" spans="1:11" ht="17.25" customHeight="1" x14ac:dyDescent="0.2">
      <c r="A11" s="6" t="s">
        <v>131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x14ac:dyDescent="0.2">
      <c r="A12" s="6"/>
      <c r="B12" s="2">
        <v>201</v>
      </c>
      <c r="C12" s="6"/>
      <c r="D12" s="6"/>
      <c r="E12" s="6"/>
      <c r="F12" s="6"/>
      <c r="G12" s="6"/>
      <c r="H12" s="6"/>
      <c r="I12" s="6"/>
      <c r="J12" s="6"/>
      <c r="K12" s="6"/>
    </row>
    <row r="13" spans="1:11" x14ac:dyDescent="0.2">
      <c r="A13" s="6" t="s">
        <v>133</v>
      </c>
      <c r="B13" s="2">
        <v>9000</v>
      </c>
      <c r="C13" s="2" t="s">
        <v>11</v>
      </c>
      <c r="D13" s="2" t="s">
        <v>11</v>
      </c>
      <c r="E13" s="2" t="s">
        <v>11</v>
      </c>
      <c r="F13" s="2" t="s">
        <v>11</v>
      </c>
      <c r="G13" s="2" t="s">
        <v>11</v>
      </c>
      <c r="H13" s="2" t="s">
        <v>11</v>
      </c>
      <c r="I13" s="6"/>
      <c r="J13" s="6"/>
      <c r="K13" s="6"/>
    </row>
  </sheetData>
  <mergeCells count="5">
    <mergeCell ref="I3:K3"/>
    <mergeCell ref="A3:A5"/>
    <mergeCell ref="B3:B5"/>
    <mergeCell ref="C3:E3"/>
    <mergeCell ref="F3:H3"/>
  </mergeCells>
  <phoneticPr fontId="15" type="noConversion"/>
  <pageMargins left="0.7" right="0.7" top="0.75" bottom="0.75" header="0.3" footer="0.3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0"/>
  <sheetViews>
    <sheetView workbookViewId="0">
      <selection activeCell="E41" sqref="E41"/>
    </sheetView>
  </sheetViews>
  <sheetFormatPr defaultRowHeight="12.75" x14ac:dyDescent="0.2"/>
  <cols>
    <col min="1" max="1" width="21.140625" style="3" customWidth="1"/>
    <col min="2" max="2" width="9.140625" style="3"/>
    <col min="3" max="11" width="17.140625" style="3" customWidth="1"/>
    <col min="12" max="16384" width="9.140625" style="3"/>
  </cols>
  <sheetData>
    <row r="1" spans="1:11" x14ac:dyDescent="0.2">
      <c r="A1" s="3" t="s">
        <v>141</v>
      </c>
    </row>
    <row r="3" spans="1:11" ht="69" customHeight="1" x14ac:dyDescent="0.2">
      <c r="A3" s="388" t="s">
        <v>0</v>
      </c>
      <c r="B3" s="388" t="s">
        <v>1</v>
      </c>
      <c r="C3" s="388" t="s">
        <v>136</v>
      </c>
      <c r="D3" s="388"/>
      <c r="E3" s="388"/>
      <c r="F3" s="388" t="s">
        <v>137</v>
      </c>
      <c r="G3" s="388"/>
      <c r="H3" s="388"/>
      <c r="I3" s="388" t="s">
        <v>138</v>
      </c>
      <c r="J3" s="388"/>
      <c r="K3" s="388"/>
    </row>
    <row r="4" spans="1:11" x14ac:dyDescent="0.2">
      <c r="A4" s="388"/>
      <c r="B4" s="388"/>
      <c r="C4" s="16" t="s">
        <v>417</v>
      </c>
      <c r="D4" s="108" t="s">
        <v>418</v>
      </c>
      <c r="E4" s="108" t="s">
        <v>548</v>
      </c>
      <c r="F4" s="108" t="s">
        <v>417</v>
      </c>
      <c r="G4" s="108" t="s">
        <v>418</v>
      </c>
      <c r="H4" s="108" t="s">
        <v>548</v>
      </c>
      <c r="I4" s="16" t="s">
        <v>417</v>
      </c>
      <c r="J4" s="16" t="s">
        <v>418</v>
      </c>
      <c r="K4" s="16" t="s">
        <v>548</v>
      </c>
    </row>
    <row r="5" spans="1:11" ht="25.5" x14ac:dyDescent="0.2">
      <c r="A5" s="388"/>
      <c r="B5" s="388"/>
      <c r="C5" s="2" t="s">
        <v>73</v>
      </c>
      <c r="D5" s="2" t="s">
        <v>74</v>
      </c>
      <c r="E5" s="2" t="s">
        <v>75</v>
      </c>
      <c r="F5" s="2" t="s">
        <v>73</v>
      </c>
      <c r="G5" s="2" t="s">
        <v>74</v>
      </c>
      <c r="H5" s="2" t="s">
        <v>75</v>
      </c>
      <c r="I5" s="2" t="s">
        <v>73</v>
      </c>
      <c r="J5" s="2" t="s">
        <v>74</v>
      </c>
      <c r="K5" s="2" t="s">
        <v>75</v>
      </c>
    </row>
    <row r="6" spans="1:11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 x14ac:dyDescent="0.2">
      <c r="A7" s="6" t="s">
        <v>139</v>
      </c>
      <c r="B7" s="2">
        <v>1</v>
      </c>
      <c r="C7" s="6"/>
      <c r="D7" s="6"/>
      <c r="E7" s="6"/>
      <c r="F7" s="6"/>
      <c r="G7" s="6"/>
      <c r="H7" s="6"/>
      <c r="I7" s="6"/>
      <c r="J7" s="6"/>
      <c r="K7" s="6"/>
    </row>
    <row r="8" spans="1:11" x14ac:dyDescent="0.2">
      <c r="A8" s="6" t="s">
        <v>140</v>
      </c>
      <c r="B8" s="2">
        <v>2</v>
      </c>
      <c r="C8" s="6"/>
      <c r="D8" s="6"/>
      <c r="E8" s="6"/>
      <c r="F8" s="6"/>
      <c r="G8" s="6"/>
      <c r="H8" s="6"/>
      <c r="I8" s="6"/>
      <c r="J8" s="6"/>
      <c r="K8" s="6"/>
    </row>
    <row r="9" spans="1:1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2">
      <c r="A10" s="6" t="s">
        <v>133</v>
      </c>
      <c r="B10" s="2">
        <v>9000</v>
      </c>
      <c r="C10" s="2" t="s">
        <v>11</v>
      </c>
      <c r="D10" s="2" t="s">
        <v>11</v>
      </c>
      <c r="E10" s="2" t="s">
        <v>11</v>
      </c>
      <c r="F10" s="2" t="s">
        <v>11</v>
      </c>
      <c r="G10" s="2" t="s">
        <v>11</v>
      </c>
      <c r="H10" s="2" t="s">
        <v>11</v>
      </c>
      <c r="I10" s="6"/>
      <c r="J10" s="6"/>
      <c r="K10" s="6"/>
    </row>
  </sheetData>
  <mergeCells count="5">
    <mergeCell ref="I3:K3"/>
    <mergeCell ref="A3:A5"/>
    <mergeCell ref="B3:B5"/>
    <mergeCell ref="C3:E3"/>
    <mergeCell ref="F3:H3"/>
  </mergeCells>
  <phoneticPr fontId="15" type="noConversion"/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8"/>
  <sheetViews>
    <sheetView topLeftCell="A4" workbookViewId="0">
      <selection activeCell="E15" sqref="E15"/>
    </sheetView>
  </sheetViews>
  <sheetFormatPr defaultRowHeight="12.75" x14ac:dyDescent="0.2"/>
  <cols>
    <col min="1" max="1" width="48.7109375" style="3" customWidth="1"/>
    <col min="2" max="2" width="9.140625" style="3"/>
    <col min="3" max="6" width="16" style="3" customWidth="1"/>
    <col min="7" max="16384" width="9.140625" style="3"/>
  </cols>
  <sheetData>
    <row r="1" spans="1:5" ht="32.25" customHeight="1" x14ac:dyDescent="0.2">
      <c r="A1" s="391" t="s">
        <v>147</v>
      </c>
      <c r="B1" s="391"/>
      <c r="C1" s="391"/>
      <c r="D1" s="391"/>
      <c r="E1" s="391"/>
    </row>
    <row r="2" spans="1:5" x14ac:dyDescent="0.2">
      <c r="A2" s="9"/>
      <c r="B2" s="9"/>
      <c r="C2" s="9"/>
      <c r="D2" s="9"/>
      <c r="E2" s="9"/>
    </row>
    <row r="3" spans="1:5" ht="31.5" customHeight="1" x14ac:dyDescent="0.2">
      <c r="A3" s="392" t="s">
        <v>146</v>
      </c>
      <c r="B3" s="392"/>
      <c r="C3" s="392"/>
      <c r="D3" s="392"/>
      <c r="E3" s="392"/>
    </row>
    <row r="4" spans="1:5" x14ac:dyDescent="0.2">
      <c r="A4" s="388" t="s">
        <v>0</v>
      </c>
      <c r="B4" s="388" t="s">
        <v>1</v>
      </c>
      <c r="C4" s="388" t="s">
        <v>113</v>
      </c>
      <c r="D4" s="388"/>
      <c r="E4" s="388"/>
    </row>
    <row r="5" spans="1:5" x14ac:dyDescent="0.2">
      <c r="A5" s="388"/>
      <c r="B5" s="388"/>
      <c r="C5" s="16" t="s">
        <v>417</v>
      </c>
      <c r="D5" s="16" t="s">
        <v>418</v>
      </c>
      <c r="E5" s="16" t="s">
        <v>548</v>
      </c>
    </row>
    <row r="6" spans="1:5" ht="38.25" x14ac:dyDescent="0.2">
      <c r="A6" s="388"/>
      <c r="B6" s="388"/>
      <c r="C6" s="2" t="s">
        <v>73</v>
      </c>
      <c r="D6" s="2" t="s">
        <v>74</v>
      </c>
      <c r="E6" s="2" t="s">
        <v>75</v>
      </c>
    </row>
    <row r="7" spans="1:5" x14ac:dyDescent="0.2">
      <c r="A7" s="2">
        <v>1</v>
      </c>
      <c r="B7" s="2">
        <v>2</v>
      </c>
      <c r="C7" s="2">
        <v>3</v>
      </c>
      <c r="D7" s="2">
        <v>4</v>
      </c>
      <c r="E7" s="2">
        <v>5</v>
      </c>
    </row>
    <row r="8" spans="1:5" ht="25.5" x14ac:dyDescent="0.2">
      <c r="A8" s="6" t="s">
        <v>114</v>
      </c>
      <c r="B8" s="2">
        <v>100</v>
      </c>
      <c r="C8" s="38"/>
      <c r="D8" s="38"/>
      <c r="E8" s="38"/>
    </row>
    <row r="9" spans="1:5" ht="38.25" x14ac:dyDescent="0.2">
      <c r="A9" s="6" t="s">
        <v>115</v>
      </c>
      <c r="B9" s="2">
        <v>200</v>
      </c>
      <c r="C9" s="38"/>
      <c r="D9" s="38"/>
      <c r="E9" s="38"/>
    </row>
    <row r="10" spans="1:5" ht="28.5" customHeight="1" x14ac:dyDescent="0.2">
      <c r="A10" s="6" t="s">
        <v>144</v>
      </c>
      <c r="B10" s="2">
        <v>300</v>
      </c>
      <c r="C10" s="40">
        <f>C11+C13+C14+C15</f>
        <v>47957845</v>
      </c>
      <c r="D10" s="40">
        <f>D11+D13+D14+D15</f>
        <v>47492925</v>
      </c>
      <c r="E10" s="40">
        <f>E11+E13+E14+E15</f>
        <v>42731300</v>
      </c>
    </row>
    <row r="11" spans="1:5" ht="19.5" customHeight="1" x14ac:dyDescent="0.2">
      <c r="A11" s="6" t="s">
        <v>14</v>
      </c>
      <c r="B11" s="388">
        <v>310</v>
      </c>
      <c r="C11" s="390">
        <f>'Раздел 1.Поступления и выплаты'!D17</f>
        <v>45882445</v>
      </c>
      <c r="D11" s="390">
        <f>'Раздел 1.Поступления и выплаты'!F17</f>
        <v>45417525</v>
      </c>
      <c r="E11" s="390">
        <f>'Раздел 1.Поступления и выплаты'!H17</f>
        <v>40675900</v>
      </c>
    </row>
    <row r="12" spans="1:5" ht="32.25" customHeight="1" x14ac:dyDescent="0.2">
      <c r="A12" s="6" t="s">
        <v>20</v>
      </c>
      <c r="B12" s="388"/>
      <c r="C12" s="390"/>
      <c r="D12" s="390"/>
      <c r="E12" s="390"/>
    </row>
    <row r="13" spans="1:5" ht="44.25" customHeight="1" x14ac:dyDescent="0.2">
      <c r="A13" s="6" t="s">
        <v>276</v>
      </c>
      <c r="B13" s="2">
        <v>320</v>
      </c>
      <c r="C13" s="40">
        <f>'3.2.3'!I8</f>
        <v>532600</v>
      </c>
      <c r="D13" s="40">
        <f>'3.2.3'!J8</f>
        <v>532600</v>
      </c>
      <c r="E13" s="40">
        <f>'3.2.3'!K8</f>
        <v>532600</v>
      </c>
    </row>
    <row r="14" spans="1:5" ht="60" customHeight="1" x14ac:dyDescent="0.2">
      <c r="A14" s="6" t="s">
        <v>275</v>
      </c>
      <c r="B14" s="2">
        <v>330</v>
      </c>
      <c r="C14" s="40">
        <f>'3.2.4'!I20</f>
        <v>1522800</v>
      </c>
      <c r="D14" s="321">
        <f>'3.2.4'!J20</f>
        <v>1522800</v>
      </c>
      <c r="E14" s="321">
        <f>'3.2.4'!K20</f>
        <v>1522800</v>
      </c>
    </row>
    <row r="15" spans="1:5" ht="44.25" customHeight="1" x14ac:dyDescent="0.2">
      <c r="A15" s="6" t="s">
        <v>22</v>
      </c>
      <c r="B15" s="2">
        <v>340</v>
      </c>
      <c r="C15" s="272">
        <f>'3.2.5'!I11</f>
        <v>20000</v>
      </c>
      <c r="D15" s="321">
        <f>'3.2.5'!J11</f>
        <v>20000</v>
      </c>
      <c r="E15" s="321">
        <f>'3.2.5'!K11</f>
        <v>0</v>
      </c>
    </row>
    <row r="16" spans="1:5" ht="31.5" customHeight="1" x14ac:dyDescent="0.2">
      <c r="A16" s="6" t="s">
        <v>123</v>
      </c>
      <c r="B16" s="2">
        <v>400</v>
      </c>
      <c r="C16" s="161"/>
      <c r="D16" s="161"/>
      <c r="E16" s="161"/>
    </row>
    <row r="17" spans="1:5" ht="44.25" customHeight="1" x14ac:dyDescent="0.2">
      <c r="A17" s="6" t="s">
        <v>124</v>
      </c>
      <c r="B17" s="2">
        <v>500</v>
      </c>
      <c r="C17" s="161"/>
      <c r="D17" s="161"/>
      <c r="E17" s="161"/>
    </row>
    <row r="18" spans="1:5" ht="44.25" customHeight="1" x14ac:dyDescent="0.2">
      <c r="A18" s="6" t="s">
        <v>145</v>
      </c>
      <c r="B18" s="2">
        <v>600</v>
      </c>
      <c r="C18" s="40">
        <f>C8+C9+C10+C16+C17</f>
        <v>47957845</v>
      </c>
      <c r="D18" s="40">
        <f>D8+D10+D15+D17</f>
        <v>47512925</v>
      </c>
      <c r="E18" s="40">
        <f>E8+E10+E16+E17</f>
        <v>42731300</v>
      </c>
    </row>
  </sheetData>
  <mergeCells count="9">
    <mergeCell ref="B11:B12"/>
    <mergeCell ref="C11:C12"/>
    <mergeCell ref="D11:D12"/>
    <mergeCell ref="E11:E12"/>
    <mergeCell ref="A1:E1"/>
    <mergeCell ref="A3:E3"/>
    <mergeCell ref="A4:A6"/>
    <mergeCell ref="B4:B6"/>
    <mergeCell ref="C4:E4"/>
  </mergeCells>
  <phoneticPr fontId="15" type="noConversion"/>
  <pageMargins left="0.7" right="0.7" top="0.75" bottom="0.75" header="0.3" footer="0.3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17"/>
  <sheetViews>
    <sheetView view="pageBreakPreview" topLeftCell="A196" zoomScale="82" zoomScaleSheetLayoutView="82" workbookViewId="0">
      <selection activeCell="I152" sqref="I152"/>
    </sheetView>
  </sheetViews>
  <sheetFormatPr defaultRowHeight="12.75" x14ac:dyDescent="0.2"/>
  <cols>
    <col min="1" max="1" width="27.7109375" style="3" customWidth="1"/>
    <col min="2" max="2" width="9.140625" style="3"/>
    <col min="3" max="8" width="15.5703125" style="3" customWidth="1"/>
    <col min="9" max="9" width="23.42578125" style="3" customWidth="1"/>
    <col min="10" max="10" width="18.5703125" style="3" customWidth="1"/>
    <col min="11" max="11" width="20.28515625" style="3" customWidth="1"/>
    <col min="12" max="12" width="9.140625" style="3"/>
    <col min="13" max="13" width="17.85546875" style="3" customWidth="1"/>
    <col min="14" max="16384" width="9.140625" style="3"/>
  </cols>
  <sheetData>
    <row r="1" spans="1:11" ht="27" customHeight="1" x14ac:dyDescent="0.2">
      <c r="A1" s="109" t="s">
        <v>151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 ht="49.5" customHeight="1" x14ac:dyDescent="0.2">
      <c r="A2" s="393" t="s">
        <v>0</v>
      </c>
      <c r="B2" s="393" t="s">
        <v>1</v>
      </c>
      <c r="C2" s="393" t="s">
        <v>148</v>
      </c>
      <c r="D2" s="393"/>
      <c r="E2" s="393"/>
      <c r="F2" s="393" t="s">
        <v>149</v>
      </c>
      <c r="G2" s="393"/>
      <c r="H2" s="393"/>
      <c r="I2" s="393" t="s">
        <v>150</v>
      </c>
      <c r="J2" s="393"/>
      <c r="K2" s="393"/>
    </row>
    <row r="3" spans="1:11" x14ac:dyDescent="0.2">
      <c r="A3" s="393"/>
      <c r="B3" s="393"/>
      <c r="C3" s="220" t="s">
        <v>418</v>
      </c>
      <c r="D3" s="220" t="s">
        <v>548</v>
      </c>
      <c r="E3" s="220" t="s">
        <v>583</v>
      </c>
      <c r="F3" s="220" t="s">
        <v>418</v>
      </c>
      <c r="G3" s="220" t="s">
        <v>548</v>
      </c>
      <c r="H3" s="220" t="s">
        <v>583</v>
      </c>
      <c r="I3" s="220" t="s">
        <v>418</v>
      </c>
      <c r="J3" s="220" t="s">
        <v>548</v>
      </c>
      <c r="K3" s="220" t="s">
        <v>583</v>
      </c>
    </row>
    <row r="4" spans="1:11" ht="38.25" x14ac:dyDescent="0.2">
      <c r="A4" s="393"/>
      <c r="B4" s="393"/>
      <c r="C4" s="116" t="s">
        <v>73</v>
      </c>
      <c r="D4" s="116" t="s">
        <v>74</v>
      </c>
      <c r="E4" s="116" t="s">
        <v>75</v>
      </c>
      <c r="F4" s="116" t="s">
        <v>73</v>
      </c>
      <c r="G4" s="116" t="s">
        <v>74</v>
      </c>
      <c r="H4" s="116" t="s">
        <v>75</v>
      </c>
      <c r="I4" s="116" t="s">
        <v>73</v>
      </c>
      <c r="J4" s="116" t="s">
        <v>74</v>
      </c>
      <c r="K4" s="116" t="s">
        <v>75</v>
      </c>
    </row>
    <row r="5" spans="1:11" x14ac:dyDescent="0.2">
      <c r="A5" s="116">
        <v>1</v>
      </c>
      <c r="B5" s="116">
        <v>2</v>
      </c>
      <c r="C5" s="116">
        <v>3</v>
      </c>
      <c r="D5" s="116">
        <v>4</v>
      </c>
      <c r="E5" s="116">
        <v>5</v>
      </c>
      <c r="F5" s="116">
        <v>6</v>
      </c>
      <c r="G5" s="116">
        <v>7</v>
      </c>
      <c r="H5" s="116">
        <v>8</v>
      </c>
      <c r="I5" s="116">
        <v>9</v>
      </c>
      <c r="J5" s="116">
        <v>10</v>
      </c>
      <c r="K5" s="116">
        <v>11</v>
      </c>
    </row>
    <row r="6" spans="1:11" ht="17.25" customHeight="1" x14ac:dyDescent="0.2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</row>
    <row r="7" spans="1:11" ht="27.75" customHeight="1" x14ac:dyDescent="0.2">
      <c r="A7" s="117" t="s">
        <v>437</v>
      </c>
      <c r="B7" s="116">
        <v>1</v>
      </c>
      <c r="C7" s="112">
        <f>C8</f>
        <v>26416.19</v>
      </c>
      <c r="D7" s="112">
        <f>D8+D9</f>
        <v>33038.799999999996</v>
      </c>
      <c r="E7" s="112">
        <f>E8+E9</f>
        <v>33038.799999999996</v>
      </c>
      <c r="F7" s="117">
        <v>100</v>
      </c>
      <c r="G7" s="117">
        <v>100</v>
      </c>
      <c r="H7" s="117">
        <v>100</v>
      </c>
      <c r="I7" s="112">
        <f>I8+I9</f>
        <v>3439505</v>
      </c>
      <c r="J7" s="112">
        <f>J8+J9</f>
        <v>3303880</v>
      </c>
      <c r="K7" s="112">
        <f>K8+K9</f>
        <v>3303880</v>
      </c>
    </row>
    <row r="8" spans="1:11" ht="27" customHeight="1" x14ac:dyDescent="0.2">
      <c r="A8" s="117" t="s">
        <v>435</v>
      </c>
      <c r="B8" s="116">
        <v>2</v>
      </c>
      <c r="C8" s="112">
        <v>26416.19</v>
      </c>
      <c r="D8" s="112">
        <v>25375.42</v>
      </c>
      <c r="E8" s="112">
        <v>25375.42</v>
      </c>
      <c r="F8" s="117">
        <v>100</v>
      </c>
      <c r="G8" s="117">
        <v>100</v>
      </c>
      <c r="H8" s="117">
        <v>100</v>
      </c>
      <c r="I8" s="112">
        <f t="shared" ref="I8:K9" si="0">C8*F8</f>
        <v>2641619</v>
      </c>
      <c r="J8" s="112">
        <f t="shared" si="0"/>
        <v>2537542</v>
      </c>
      <c r="K8" s="112">
        <f t="shared" si="0"/>
        <v>2537542</v>
      </c>
    </row>
    <row r="9" spans="1:11" ht="34.5" customHeight="1" x14ac:dyDescent="0.2">
      <c r="A9" s="117" t="s">
        <v>436</v>
      </c>
      <c r="B9" s="117"/>
      <c r="C9" s="117">
        <v>7978.86</v>
      </c>
      <c r="D9" s="117">
        <v>7663.38</v>
      </c>
      <c r="E9" s="112">
        <v>7663.38</v>
      </c>
      <c r="F9" s="117">
        <v>100</v>
      </c>
      <c r="G9" s="117">
        <v>100</v>
      </c>
      <c r="H9" s="117">
        <v>100</v>
      </c>
      <c r="I9" s="112">
        <f t="shared" si="0"/>
        <v>797886</v>
      </c>
      <c r="J9" s="112">
        <f t="shared" si="0"/>
        <v>766338</v>
      </c>
      <c r="K9" s="112">
        <f t="shared" si="0"/>
        <v>766338</v>
      </c>
    </row>
    <row r="10" spans="1:11" ht="23.25" customHeight="1" x14ac:dyDescent="0.2">
      <c r="A10" s="117" t="s">
        <v>447</v>
      </c>
      <c r="B10" s="117"/>
      <c r="C10" s="117"/>
      <c r="D10" s="117"/>
      <c r="E10" s="117"/>
      <c r="F10" s="117"/>
      <c r="G10" s="117"/>
      <c r="H10" s="117"/>
      <c r="I10" s="112">
        <f>I11</f>
        <v>21940</v>
      </c>
      <c r="J10" s="112">
        <f>J11</f>
        <v>21940</v>
      </c>
      <c r="K10" s="112">
        <f>K11</f>
        <v>21940</v>
      </c>
    </row>
    <row r="11" spans="1:11" ht="21" customHeight="1" x14ac:dyDescent="0.2">
      <c r="A11" s="117" t="s">
        <v>439</v>
      </c>
      <c r="B11" s="117"/>
      <c r="C11" s="117">
        <v>219.4</v>
      </c>
      <c r="D11" s="117">
        <v>219.4</v>
      </c>
      <c r="E11" s="117">
        <v>219.4</v>
      </c>
      <c r="F11" s="117">
        <v>100</v>
      </c>
      <c r="G11" s="117">
        <v>100</v>
      </c>
      <c r="H11" s="117">
        <v>100</v>
      </c>
      <c r="I11" s="112">
        <v>21940</v>
      </c>
      <c r="J11" s="112">
        <v>21940</v>
      </c>
      <c r="K11" s="112">
        <v>21940</v>
      </c>
    </row>
    <row r="12" spans="1:11" ht="35.25" customHeight="1" x14ac:dyDescent="0.2">
      <c r="A12" s="117" t="s">
        <v>440</v>
      </c>
      <c r="B12" s="117"/>
      <c r="C12" s="117">
        <v>0</v>
      </c>
      <c r="D12" s="117"/>
      <c r="E12" s="117"/>
      <c r="F12" s="117">
        <v>0</v>
      </c>
      <c r="G12" s="117"/>
      <c r="H12" s="117"/>
      <c r="I12" s="112">
        <v>0</v>
      </c>
      <c r="J12" s="112">
        <v>0</v>
      </c>
      <c r="K12" s="112">
        <v>0</v>
      </c>
    </row>
    <row r="13" spans="1:11" ht="24" customHeight="1" x14ac:dyDescent="0.2">
      <c r="A13" s="117" t="s">
        <v>441</v>
      </c>
      <c r="B13" s="117"/>
      <c r="C13" s="117"/>
      <c r="D13" s="117"/>
      <c r="E13" s="117"/>
      <c r="F13" s="117"/>
      <c r="G13" s="117"/>
      <c r="H13" s="117"/>
      <c r="I13" s="112">
        <f>I14</f>
        <v>20000</v>
      </c>
      <c r="J13" s="112">
        <f>J14</f>
        <v>20000</v>
      </c>
      <c r="K13" s="112">
        <f>K14</f>
        <v>20000</v>
      </c>
    </row>
    <row r="14" spans="1:11" ht="26.25" customHeight="1" x14ac:dyDescent="0.2">
      <c r="A14" s="117" t="s">
        <v>442</v>
      </c>
      <c r="B14" s="117"/>
      <c r="C14" s="117">
        <v>200</v>
      </c>
      <c r="D14" s="117">
        <v>200</v>
      </c>
      <c r="E14" s="117">
        <v>200</v>
      </c>
      <c r="F14" s="117">
        <v>100</v>
      </c>
      <c r="G14" s="117">
        <v>100</v>
      </c>
      <c r="H14" s="117">
        <v>100</v>
      </c>
      <c r="I14" s="112">
        <v>20000</v>
      </c>
      <c r="J14" s="112">
        <v>20000</v>
      </c>
      <c r="K14" s="112">
        <v>20000</v>
      </c>
    </row>
    <row r="15" spans="1:11" ht="25.5" customHeight="1" x14ac:dyDescent="0.2">
      <c r="A15" s="117" t="s">
        <v>133</v>
      </c>
      <c r="B15" s="116">
        <v>9000</v>
      </c>
      <c r="C15" s="116" t="s">
        <v>11</v>
      </c>
      <c r="D15" s="116" t="s">
        <v>11</v>
      </c>
      <c r="E15" s="116" t="s">
        <v>11</v>
      </c>
      <c r="F15" s="116" t="s">
        <v>11</v>
      </c>
      <c r="G15" s="116" t="s">
        <v>11</v>
      </c>
      <c r="H15" s="116" t="s">
        <v>11</v>
      </c>
      <c r="I15" s="111">
        <f>I7+I10+I13</f>
        <v>3481445</v>
      </c>
      <c r="J15" s="111">
        <f>J7+J10+J13</f>
        <v>3345820</v>
      </c>
      <c r="K15" s="111">
        <f>K7+K10+K13</f>
        <v>3345820</v>
      </c>
    </row>
    <row r="16" spans="1:11" x14ac:dyDescent="0.2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</row>
    <row r="17" spans="1:13" x14ac:dyDescent="0.2">
      <c r="A17" s="109" t="s">
        <v>151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</row>
    <row r="18" spans="1:13" x14ac:dyDescent="0.2">
      <c r="A18" s="393" t="s">
        <v>0</v>
      </c>
      <c r="B18" s="393" t="s">
        <v>1</v>
      </c>
      <c r="C18" s="393" t="s">
        <v>148</v>
      </c>
      <c r="D18" s="393"/>
      <c r="E18" s="393"/>
      <c r="F18" s="393" t="s">
        <v>149</v>
      </c>
      <c r="G18" s="393"/>
      <c r="H18" s="393"/>
      <c r="I18" s="393" t="s">
        <v>150</v>
      </c>
      <c r="J18" s="393"/>
      <c r="K18" s="393"/>
    </row>
    <row r="19" spans="1:13" x14ac:dyDescent="0.2">
      <c r="A19" s="393"/>
      <c r="B19" s="393"/>
      <c r="C19" s="220" t="s">
        <v>418</v>
      </c>
      <c r="D19" s="220" t="s">
        <v>548</v>
      </c>
      <c r="E19" s="220" t="s">
        <v>583</v>
      </c>
      <c r="F19" s="220" t="s">
        <v>418</v>
      </c>
      <c r="G19" s="220" t="s">
        <v>548</v>
      </c>
      <c r="H19" s="220" t="s">
        <v>583</v>
      </c>
      <c r="I19" s="220" t="s">
        <v>418</v>
      </c>
      <c r="J19" s="220" t="s">
        <v>548</v>
      </c>
      <c r="K19" s="220" t="s">
        <v>583</v>
      </c>
    </row>
    <row r="20" spans="1:13" ht="38.25" x14ac:dyDescent="0.2">
      <c r="A20" s="393"/>
      <c r="B20" s="393"/>
      <c r="C20" s="116" t="s">
        <v>73</v>
      </c>
      <c r="D20" s="116" t="s">
        <v>74</v>
      </c>
      <c r="E20" s="116" t="s">
        <v>75</v>
      </c>
      <c r="F20" s="116" t="s">
        <v>73</v>
      </c>
      <c r="G20" s="116" t="s">
        <v>74</v>
      </c>
      <c r="H20" s="116" t="s">
        <v>75</v>
      </c>
      <c r="I20" s="116" t="s">
        <v>73</v>
      </c>
      <c r="J20" s="116" t="s">
        <v>74</v>
      </c>
      <c r="K20" s="116" t="s">
        <v>75</v>
      </c>
    </row>
    <row r="21" spans="1:13" x14ac:dyDescent="0.2">
      <c r="A21" s="116">
        <v>1</v>
      </c>
      <c r="B21" s="116">
        <v>2</v>
      </c>
      <c r="C21" s="116">
        <v>3</v>
      </c>
      <c r="D21" s="116">
        <v>4</v>
      </c>
      <c r="E21" s="116">
        <v>5</v>
      </c>
      <c r="F21" s="116">
        <v>6</v>
      </c>
      <c r="G21" s="116">
        <v>7</v>
      </c>
      <c r="H21" s="116">
        <v>8</v>
      </c>
      <c r="I21" s="116">
        <v>9</v>
      </c>
      <c r="J21" s="116">
        <v>10</v>
      </c>
      <c r="K21" s="116">
        <v>11</v>
      </c>
    </row>
    <row r="22" spans="1:13" x14ac:dyDescent="0.2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</row>
    <row r="23" spans="1:13" ht="30" customHeight="1" x14ac:dyDescent="0.2">
      <c r="A23" s="117" t="s">
        <v>437</v>
      </c>
      <c r="B23" s="116">
        <v>1</v>
      </c>
      <c r="C23" s="112">
        <f>C24+C25</f>
        <v>28368.53</v>
      </c>
      <c r="D23" s="112">
        <f>D24+D25</f>
        <v>28649.98</v>
      </c>
      <c r="E23" s="112">
        <f>E24+E25</f>
        <v>28649.98</v>
      </c>
      <c r="F23" s="117">
        <v>100</v>
      </c>
      <c r="G23" s="117">
        <v>100</v>
      </c>
      <c r="H23" s="117">
        <v>100</v>
      </c>
      <c r="I23" s="112">
        <f>I24+I25</f>
        <v>2836853.75</v>
      </c>
      <c r="J23" s="112">
        <f>J24+J25</f>
        <v>2864998.75</v>
      </c>
      <c r="K23" s="112">
        <f>K24+K25</f>
        <v>2864998.75</v>
      </c>
    </row>
    <row r="24" spans="1:13" ht="15" customHeight="1" x14ac:dyDescent="0.2">
      <c r="A24" s="117" t="s">
        <v>435</v>
      </c>
      <c r="B24" s="116">
        <v>2</v>
      </c>
      <c r="C24" s="112">
        <v>21148.63</v>
      </c>
      <c r="D24" s="112">
        <v>22004.7</v>
      </c>
      <c r="E24" s="112">
        <v>22004.7</v>
      </c>
      <c r="F24" s="117">
        <v>100</v>
      </c>
      <c r="G24" s="117">
        <v>100</v>
      </c>
      <c r="H24" s="117">
        <v>100</v>
      </c>
      <c r="I24" s="112">
        <v>2114863.75</v>
      </c>
      <c r="J24" s="112">
        <v>2200470.75</v>
      </c>
      <c r="K24" s="112">
        <v>2200470.75</v>
      </c>
    </row>
    <row r="25" spans="1:13" ht="31.5" customHeight="1" x14ac:dyDescent="0.2">
      <c r="A25" s="117" t="s">
        <v>436</v>
      </c>
      <c r="B25" s="117"/>
      <c r="C25" s="117">
        <v>7219.9</v>
      </c>
      <c r="D25" s="117">
        <v>6645.28</v>
      </c>
      <c r="E25" s="117">
        <v>6645.28</v>
      </c>
      <c r="F25" s="117">
        <v>100</v>
      </c>
      <c r="G25" s="117">
        <v>100</v>
      </c>
      <c r="H25" s="117">
        <v>100</v>
      </c>
      <c r="I25" s="112">
        <v>721990</v>
      </c>
      <c r="J25" s="112">
        <f>D25*G25</f>
        <v>664528</v>
      </c>
      <c r="K25" s="112">
        <f>E25*H25</f>
        <v>664528</v>
      </c>
    </row>
    <row r="26" spans="1:13" ht="20.25" customHeight="1" x14ac:dyDescent="0.2">
      <c r="A26" s="117" t="s">
        <v>443</v>
      </c>
      <c r="B26" s="117"/>
      <c r="C26" s="117"/>
      <c r="D26" s="117"/>
      <c r="E26" s="117"/>
      <c r="F26" s="117"/>
      <c r="G26" s="117"/>
      <c r="H26" s="117"/>
      <c r="I26" s="112">
        <f>I27</f>
        <v>113200</v>
      </c>
      <c r="J26" s="112">
        <f>J27</f>
        <v>113200</v>
      </c>
      <c r="K26" s="112">
        <f>K27</f>
        <v>113200</v>
      </c>
    </row>
    <row r="27" spans="1:13" ht="20.25" customHeight="1" x14ac:dyDescent="0.2">
      <c r="A27" s="117" t="s">
        <v>442</v>
      </c>
      <c r="B27" s="117"/>
      <c r="C27" s="117">
        <v>1132</v>
      </c>
      <c r="D27" s="117">
        <v>1132</v>
      </c>
      <c r="E27" s="117">
        <v>1132</v>
      </c>
      <c r="F27" s="117">
        <v>100</v>
      </c>
      <c r="G27" s="117">
        <v>100</v>
      </c>
      <c r="H27" s="117">
        <v>100</v>
      </c>
      <c r="I27" s="112">
        <v>113200</v>
      </c>
      <c r="J27" s="112">
        <v>113200</v>
      </c>
      <c r="K27" s="112">
        <v>113200</v>
      </c>
    </row>
    <row r="28" spans="1:13" ht="30.75" customHeight="1" x14ac:dyDescent="0.2">
      <c r="A28" s="117" t="s">
        <v>440</v>
      </c>
      <c r="B28" s="117"/>
      <c r="C28" s="117">
        <v>0</v>
      </c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2">
        <v>0</v>
      </c>
      <c r="J28" s="112">
        <v>0</v>
      </c>
      <c r="K28" s="112">
        <v>0</v>
      </c>
    </row>
    <row r="29" spans="1:13" ht="29.25" customHeight="1" x14ac:dyDescent="0.2">
      <c r="A29" s="117" t="s">
        <v>444</v>
      </c>
      <c r="B29" s="117"/>
      <c r="C29" s="117"/>
      <c r="D29" s="117"/>
      <c r="E29" s="117"/>
      <c r="F29" s="117"/>
      <c r="G29" s="117"/>
      <c r="H29" s="117"/>
      <c r="I29" s="112">
        <f>I30+I31</f>
        <v>989700</v>
      </c>
      <c r="J29" s="112">
        <f>J30+J31</f>
        <v>989700</v>
      </c>
      <c r="K29" s="112">
        <f>K30+K31</f>
        <v>989700</v>
      </c>
    </row>
    <row r="30" spans="1:13" ht="21" customHeight="1" x14ac:dyDescent="0.2">
      <c r="A30" s="117" t="s">
        <v>445</v>
      </c>
      <c r="B30" s="117"/>
      <c r="C30" s="117"/>
      <c r="D30" s="117"/>
      <c r="E30" s="117"/>
      <c r="F30" s="117"/>
      <c r="G30" s="117"/>
      <c r="H30" s="117"/>
      <c r="I30" s="112">
        <v>2400</v>
      </c>
      <c r="J30" s="112">
        <v>2400</v>
      </c>
      <c r="K30" s="112">
        <v>2400</v>
      </c>
    </row>
    <row r="31" spans="1:13" ht="29.25" customHeight="1" x14ac:dyDescent="0.2">
      <c r="A31" s="117" t="s">
        <v>446</v>
      </c>
      <c r="B31" s="117"/>
      <c r="C31" s="117">
        <v>9873</v>
      </c>
      <c r="D31" s="117">
        <v>9873</v>
      </c>
      <c r="E31" s="117">
        <v>9873</v>
      </c>
      <c r="F31" s="126">
        <v>100</v>
      </c>
      <c r="G31" s="117">
        <v>100</v>
      </c>
      <c r="H31" s="117">
        <v>100</v>
      </c>
      <c r="I31" s="112">
        <v>987300</v>
      </c>
      <c r="J31" s="112">
        <v>987300</v>
      </c>
      <c r="K31" s="112">
        <v>987300</v>
      </c>
      <c r="M31" s="37"/>
    </row>
    <row r="32" spans="1:13" ht="22.5" customHeight="1" x14ac:dyDescent="0.2">
      <c r="A32" s="117" t="s">
        <v>133</v>
      </c>
      <c r="B32" s="116">
        <v>9000</v>
      </c>
      <c r="C32" s="116" t="s">
        <v>11</v>
      </c>
      <c r="D32" s="116" t="s">
        <v>11</v>
      </c>
      <c r="E32" s="116" t="s">
        <v>11</v>
      </c>
      <c r="F32" s="116" t="s">
        <v>11</v>
      </c>
      <c r="G32" s="116" t="s">
        <v>11</v>
      </c>
      <c r="H32" s="116" t="s">
        <v>11</v>
      </c>
      <c r="I32" s="111">
        <f>I23+I26+I29</f>
        <v>3939753.75</v>
      </c>
      <c r="J32" s="111">
        <f>J23+J26+J29</f>
        <v>3967898.75</v>
      </c>
      <c r="K32" s="111">
        <f>K23+K26+K29</f>
        <v>3967898.75</v>
      </c>
    </row>
    <row r="34" spans="1:11" x14ac:dyDescent="0.2">
      <c r="A34" s="109" t="s">
        <v>151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</row>
    <row r="35" spans="1:11" x14ac:dyDescent="0.2">
      <c r="A35" s="393" t="s">
        <v>0</v>
      </c>
      <c r="B35" s="393" t="s">
        <v>1</v>
      </c>
      <c r="C35" s="393" t="s">
        <v>148</v>
      </c>
      <c r="D35" s="393"/>
      <c r="E35" s="393"/>
      <c r="F35" s="393" t="s">
        <v>149</v>
      </c>
      <c r="G35" s="393"/>
      <c r="H35" s="393"/>
      <c r="I35" s="393" t="s">
        <v>150</v>
      </c>
      <c r="J35" s="393"/>
      <c r="K35" s="393"/>
    </row>
    <row r="36" spans="1:11" x14ac:dyDescent="0.2">
      <c r="A36" s="393"/>
      <c r="B36" s="393"/>
      <c r="C36" s="220" t="s">
        <v>418</v>
      </c>
      <c r="D36" s="220" t="s">
        <v>548</v>
      </c>
      <c r="E36" s="220" t="s">
        <v>583</v>
      </c>
      <c r="F36" s="220" t="s">
        <v>418</v>
      </c>
      <c r="G36" s="220" t="s">
        <v>548</v>
      </c>
      <c r="H36" s="220" t="s">
        <v>583</v>
      </c>
      <c r="I36" s="220" t="s">
        <v>418</v>
      </c>
      <c r="J36" s="220" t="s">
        <v>548</v>
      </c>
      <c r="K36" s="220" t="s">
        <v>583</v>
      </c>
    </row>
    <row r="37" spans="1:11" ht="38.25" x14ac:dyDescent="0.2">
      <c r="A37" s="393"/>
      <c r="B37" s="393"/>
      <c r="C37" s="116" t="s">
        <v>73</v>
      </c>
      <c r="D37" s="116" t="s">
        <v>74</v>
      </c>
      <c r="E37" s="116" t="s">
        <v>75</v>
      </c>
      <c r="F37" s="116" t="s">
        <v>73</v>
      </c>
      <c r="G37" s="116" t="s">
        <v>74</v>
      </c>
      <c r="H37" s="116" t="s">
        <v>75</v>
      </c>
      <c r="I37" s="116" t="s">
        <v>73</v>
      </c>
      <c r="J37" s="116" t="s">
        <v>74</v>
      </c>
      <c r="K37" s="116" t="s">
        <v>75</v>
      </c>
    </row>
    <row r="38" spans="1:11" x14ac:dyDescent="0.2">
      <c r="A38" s="116">
        <v>1</v>
      </c>
      <c r="B38" s="116">
        <v>2</v>
      </c>
      <c r="C38" s="116">
        <v>3</v>
      </c>
      <c r="D38" s="116">
        <v>4</v>
      </c>
      <c r="E38" s="116">
        <v>5</v>
      </c>
      <c r="F38" s="116">
        <v>6</v>
      </c>
      <c r="G38" s="116">
        <v>7</v>
      </c>
      <c r="H38" s="116">
        <v>8</v>
      </c>
      <c r="I38" s="116">
        <v>9</v>
      </c>
      <c r="J38" s="116">
        <v>10</v>
      </c>
      <c r="K38" s="116">
        <v>11</v>
      </c>
    </row>
    <row r="39" spans="1:11" x14ac:dyDescent="0.2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</row>
    <row r="40" spans="1:11" ht="25.5" x14ac:dyDescent="0.2">
      <c r="A40" s="117" t="s">
        <v>437</v>
      </c>
      <c r="B40" s="116">
        <v>1</v>
      </c>
      <c r="C40" s="112">
        <f>C41+C42</f>
        <v>42938.59</v>
      </c>
      <c r="D40" s="112">
        <f>D41+D42</f>
        <v>36225.43</v>
      </c>
      <c r="E40" s="112">
        <f>E41+E42</f>
        <v>36225.43</v>
      </c>
      <c r="F40" s="117">
        <v>282</v>
      </c>
      <c r="G40" s="117">
        <v>282</v>
      </c>
      <c r="H40" s="117">
        <v>282</v>
      </c>
      <c r="I40" s="112">
        <f>I41+I42</f>
        <v>16081702.569999998</v>
      </c>
      <c r="J40" s="112">
        <f>J41+J42</f>
        <v>14464201.26</v>
      </c>
      <c r="K40" s="112">
        <f>K41+K42</f>
        <v>14464201.26</v>
      </c>
    </row>
    <row r="41" spans="1:11" x14ac:dyDescent="0.2">
      <c r="A41" s="117" t="s">
        <v>435</v>
      </c>
      <c r="B41" s="116">
        <v>2</v>
      </c>
      <c r="C41" s="112">
        <v>32978.92</v>
      </c>
      <c r="D41" s="112">
        <v>27822.880000000001</v>
      </c>
      <c r="E41" s="112">
        <v>27822.880000000001</v>
      </c>
      <c r="F41" s="117">
        <v>282</v>
      </c>
      <c r="G41" s="117">
        <v>282</v>
      </c>
      <c r="H41" s="117">
        <v>282</v>
      </c>
      <c r="I41" s="112">
        <f>C41*F41+2972697.61</f>
        <v>12272753.049999999</v>
      </c>
      <c r="J41" s="112">
        <f>D41*G41+3263156.68</f>
        <v>11109208.84</v>
      </c>
      <c r="K41" s="112">
        <v>11109208.84</v>
      </c>
    </row>
    <row r="42" spans="1:11" ht="25.5" x14ac:dyDescent="0.2">
      <c r="A42" s="117" t="s">
        <v>436</v>
      </c>
      <c r="B42" s="117"/>
      <c r="C42" s="117">
        <v>9959.67</v>
      </c>
      <c r="D42" s="117">
        <v>8402.5499999999993</v>
      </c>
      <c r="E42" s="117">
        <v>8402.5499999999993</v>
      </c>
      <c r="F42" s="117">
        <v>282</v>
      </c>
      <c r="G42" s="117">
        <v>282</v>
      </c>
      <c r="H42" s="117">
        <v>282</v>
      </c>
      <c r="I42" s="112">
        <f>C42*F42+1000322.58</f>
        <v>3808949.52</v>
      </c>
      <c r="J42" s="112">
        <f>D42*G42+985473.32</f>
        <v>3354992.4199999995</v>
      </c>
      <c r="K42" s="112">
        <v>3354992.42</v>
      </c>
    </row>
    <row r="43" spans="1:11" x14ac:dyDescent="0.2">
      <c r="A43" s="117" t="s">
        <v>447</v>
      </c>
      <c r="B43" s="117"/>
      <c r="C43" s="117"/>
      <c r="D43" s="117"/>
      <c r="E43" s="117"/>
      <c r="F43" s="117"/>
      <c r="G43" s="117"/>
      <c r="H43" s="117"/>
      <c r="I43" s="112">
        <f>I44</f>
        <v>74565.33</v>
      </c>
      <c r="J43" s="112">
        <f>J44</f>
        <v>74565.33</v>
      </c>
      <c r="K43" s="112">
        <f>K44</f>
        <v>74565.33</v>
      </c>
    </row>
    <row r="44" spans="1:11" x14ac:dyDescent="0.2">
      <c r="A44" s="117" t="s">
        <v>438</v>
      </c>
      <c r="B44" s="117"/>
      <c r="C44" s="117">
        <v>264.42</v>
      </c>
      <c r="D44" s="117">
        <v>264.42</v>
      </c>
      <c r="E44" s="117">
        <v>264.42</v>
      </c>
      <c r="F44" s="117">
        <v>282</v>
      </c>
      <c r="G44" s="117">
        <v>282</v>
      </c>
      <c r="H44" s="117">
        <v>282</v>
      </c>
      <c r="I44" s="112">
        <v>74565.33</v>
      </c>
      <c r="J44" s="112">
        <v>74565.33</v>
      </c>
      <c r="K44" s="112">
        <v>74565.33</v>
      </c>
    </row>
    <row r="45" spans="1:11" x14ac:dyDescent="0.2">
      <c r="A45" s="117" t="s">
        <v>448</v>
      </c>
      <c r="B45" s="117"/>
      <c r="C45" s="117"/>
      <c r="D45" s="117"/>
      <c r="E45" s="117"/>
      <c r="F45" s="117"/>
      <c r="G45" s="117"/>
      <c r="H45" s="117"/>
      <c r="I45" s="112">
        <f>I46+I47+I48</f>
        <v>83879.87</v>
      </c>
      <c r="J45" s="112">
        <f>J46+J47+J48</f>
        <v>83879.56</v>
      </c>
      <c r="K45" s="112">
        <f>K46+K47+K48</f>
        <v>83879.56</v>
      </c>
    </row>
    <row r="46" spans="1:11" x14ac:dyDescent="0.2">
      <c r="A46" s="117" t="s">
        <v>237</v>
      </c>
      <c r="B46" s="117"/>
      <c r="C46" s="117">
        <v>36.5</v>
      </c>
      <c r="D46" s="117">
        <v>36.5</v>
      </c>
      <c r="E46" s="117">
        <v>36.5</v>
      </c>
      <c r="F46" s="117">
        <v>282</v>
      </c>
      <c r="G46" s="117">
        <v>282</v>
      </c>
      <c r="H46" s="117">
        <v>282</v>
      </c>
      <c r="I46" s="112">
        <v>10291.969999999999</v>
      </c>
      <c r="J46" s="112">
        <v>10291.969999999999</v>
      </c>
      <c r="K46" s="112">
        <v>10291.969999999999</v>
      </c>
    </row>
    <row r="47" spans="1:11" ht="25.5" x14ac:dyDescent="0.2">
      <c r="A47" s="117" t="s">
        <v>449</v>
      </c>
      <c r="B47" s="117"/>
      <c r="C47" s="117">
        <v>63.87</v>
      </c>
      <c r="D47" s="117">
        <v>63.87</v>
      </c>
      <c r="E47" s="117">
        <v>63.87</v>
      </c>
      <c r="F47" s="117">
        <v>282</v>
      </c>
      <c r="G47" s="117">
        <v>282</v>
      </c>
      <c r="H47" s="117">
        <v>282</v>
      </c>
      <c r="I47" s="112">
        <f>C47*F47</f>
        <v>18011.34</v>
      </c>
      <c r="J47" s="112">
        <v>18010.95</v>
      </c>
      <c r="K47" s="112">
        <v>18010.95</v>
      </c>
    </row>
    <row r="48" spans="1:11" ht="18" customHeight="1" x14ac:dyDescent="0.2">
      <c r="A48" s="117" t="s">
        <v>450</v>
      </c>
      <c r="B48" s="117"/>
      <c r="C48" s="117">
        <v>197.08</v>
      </c>
      <c r="D48" s="117">
        <v>197.08</v>
      </c>
      <c r="E48" s="117">
        <v>197.08</v>
      </c>
      <c r="F48" s="117">
        <v>282</v>
      </c>
      <c r="G48" s="117">
        <v>282</v>
      </c>
      <c r="H48" s="117">
        <v>282</v>
      </c>
      <c r="I48" s="112">
        <f>C48*F48</f>
        <v>55576.560000000005</v>
      </c>
      <c r="J48" s="112">
        <v>55576.639999999999</v>
      </c>
      <c r="K48" s="112">
        <v>55576.639999999999</v>
      </c>
    </row>
    <row r="49" spans="1:13" ht="22.5" customHeight="1" x14ac:dyDescent="0.2">
      <c r="A49" s="117" t="s">
        <v>133</v>
      </c>
      <c r="B49" s="116">
        <v>9000</v>
      </c>
      <c r="C49" s="116" t="s">
        <v>11</v>
      </c>
      <c r="D49" s="116" t="s">
        <v>11</v>
      </c>
      <c r="E49" s="116" t="s">
        <v>11</v>
      </c>
      <c r="F49" s="116" t="s">
        <v>11</v>
      </c>
      <c r="G49" s="116" t="s">
        <v>11</v>
      </c>
      <c r="H49" s="116" t="s">
        <v>11</v>
      </c>
      <c r="I49" s="111">
        <f>I40+I43+I45+63213.66-1666961.91</f>
        <v>14636399.519999998</v>
      </c>
      <c r="J49" s="111">
        <f>J40+J43+J45-691249</f>
        <v>13931397.15</v>
      </c>
      <c r="K49" s="111">
        <f>K40+K43+K45-873584</f>
        <v>13749062.15</v>
      </c>
      <c r="M49" s="28"/>
    </row>
    <row r="51" spans="1:13" ht="18" customHeight="1" x14ac:dyDescent="0.2">
      <c r="A51" s="109" t="s">
        <v>151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1:13" ht="15" customHeight="1" x14ac:dyDescent="0.2">
      <c r="A52" s="393" t="s">
        <v>0</v>
      </c>
      <c r="B52" s="393" t="s">
        <v>1</v>
      </c>
      <c r="C52" s="393" t="s">
        <v>148</v>
      </c>
      <c r="D52" s="393"/>
      <c r="E52" s="393"/>
      <c r="F52" s="393" t="s">
        <v>149</v>
      </c>
      <c r="G52" s="393"/>
      <c r="H52" s="393"/>
      <c r="I52" s="393" t="s">
        <v>150</v>
      </c>
      <c r="J52" s="393"/>
      <c r="K52" s="393"/>
    </row>
    <row r="53" spans="1:13" ht="18.75" customHeight="1" x14ac:dyDescent="0.2">
      <c r="A53" s="393"/>
      <c r="B53" s="393"/>
      <c r="C53" s="220" t="s">
        <v>418</v>
      </c>
      <c r="D53" s="220" t="s">
        <v>548</v>
      </c>
      <c r="E53" s="220" t="s">
        <v>583</v>
      </c>
      <c r="F53" s="220" t="s">
        <v>418</v>
      </c>
      <c r="G53" s="220" t="s">
        <v>548</v>
      </c>
      <c r="H53" s="220" t="s">
        <v>583</v>
      </c>
      <c r="I53" s="220" t="s">
        <v>418</v>
      </c>
      <c r="J53" s="220" t="s">
        <v>548</v>
      </c>
      <c r="K53" s="220" t="s">
        <v>583</v>
      </c>
    </row>
    <row r="54" spans="1:13" ht="44.25" customHeight="1" x14ac:dyDescent="0.2">
      <c r="A54" s="393"/>
      <c r="B54" s="393"/>
      <c r="C54" s="116" t="s">
        <v>73</v>
      </c>
      <c r="D54" s="116" t="s">
        <v>74</v>
      </c>
      <c r="E54" s="116" t="s">
        <v>75</v>
      </c>
      <c r="F54" s="116" t="s">
        <v>73</v>
      </c>
      <c r="G54" s="116" t="s">
        <v>74</v>
      </c>
      <c r="H54" s="116" t="s">
        <v>75</v>
      </c>
      <c r="I54" s="116" t="s">
        <v>73</v>
      </c>
      <c r="J54" s="116" t="s">
        <v>74</v>
      </c>
      <c r="K54" s="116" t="s">
        <v>75</v>
      </c>
    </row>
    <row r="55" spans="1:13" ht="16.5" customHeight="1" x14ac:dyDescent="0.2">
      <c r="A55" s="116">
        <v>1</v>
      </c>
      <c r="B55" s="116">
        <v>2</v>
      </c>
      <c r="C55" s="116">
        <v>3</v>
      </c>
      <c r="D55" s="116">
        <v>4</v>
      </c>
      <c r="E55" s="116">
        <v>5</v>
      </c>
      <c r="F55" s="116">
        <v>6</v>
      </c>
      <c r="G55" s="116">
        <v>7</v>
      </c>
      <c r="H55" s="116">
        <v>8</v>
      </c>
      <c r="I55" s="116">
        <v>9</v>
      </c>
      <c r="J55" s="116">
        <v>10</v>
      </c>
      <c r="K55" s="116">
        <v>11</v>
      </c>
    </row>
    <row r="56" spans="1:13" ht="19.5" customHeight="1" x14ac:dyDescent="0.2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</row>
    <row r="57" spans="1:13" ht="20.25" customHeight="1" x14ac:dyDescent="0.2">
      <c r="A57" s="117" t="s">
        <v>452</v>
      </c>
      <c r="B57" s="116">
        <v>1</v>
      </c>
      <c r="C57" s="112">
        <v>8309.67</v>
      </c>
      <c r="D57" s="112">
        <v>8309.67</v>
      </c>
      <c r="E57" s="112">
        <v>8309.67</v>
      </c>
      <c r="F57" s="117">
        <v>282</v>
      </c>
      <c r="G57" s="117">
        <v>282</v>
      </c>
      <c r="H57" s="117">
        <v>282</v>
      </c>
      <c r="I57" s="112">
        <v>852539.71</v>
      </c>
      <c r="J57" s="112">
        <v>2343327.37</v>
      </c>
      <c r="K57" s="112">
        <v>2343327.37</v>
      </c>
    </row>
    <row r="58" spans="1:13" ht="34.5" customHeight="1" x14ac:dyDescent="0.2">
      <c r="A58" s="117" t="s">
        <v>453</v>
      </c>
      <c r="B58" s="116">
        <v>2</v>
      </c>
      <c r="C58" s="112"/>
      <c r="D58" s="117"/>
      <c r="E58" s="117"/>
      <c r="F58" s="117"/>
      <c r="G58" s="117"/>
      <c r="H58" s="117"/>
      <c r="I58" s="112">
        <f>I59</f>
        <v>199406.93</v>
      </c>
      <c r="J58" s="112">
        <f>J59</f>
        <v>199406.93</v>
      </c>
      <c r="K58" s="112">
        <f>K59</f>
        <v>199406.93</v>
      </c>
    </row>
    <row r="59" spans="1:13" ht="30.75" customHeight="1" x14ac:dyDescent="0.2">
      <c r="A59" s="117" t="s">
        <v>454</v>
      </c>
      <c r="B59" s="117"/>
      <c r="C59" s="117">
        <v>707.12</v>
      </c>
      <c r="D59" s="117">
        <v>707.12</v>
      </c>
      <c r="E59" s="117">
        <v>707.12</v>
      </c>
      <c r="F59" s="109">
        <v>282</v>
      </c>
      <c r="G59" s="117">
        <v>282</v>
      </c>
      <c r="H59" s="117">
        <v>282</v>
      </c>
      <c r="I59" s="112">
        <v>199406.93</v>
      </c>
      <c r="J59" s="112">
        <v>199406.93</v>
      </c>
      <c r="K59" s="112">
        <v>199406.93</v>
      </c>
    </row>
    <row r="60" spans="1:13" ht="18.75" customHeight="1" x14ac:dyDescent="0.2">
      <c r="A60" s="117" t="s">
        <v>455</v>
      </c>
      <c r="B60" s="117"/>
      <c r="C60" s="117"/>
      <c r="D60" s="117"/>
      <c r="E60" s="117"/>
      <c r="F60" s="117"/>
      <c r="G60" s="117"/>
      <c r="H60" s="117"/>
      <c r="I60" s="112">
        <f>I61</f>
        <v>107705.47</v>
      </c>
      <c r="J60" s="112">
        <f>J61</f>
        <v>107705.47</v>
      </c>
      <c r="K60" s="112">
        <f>K61</f>
        <v>107705.47</v>
      </c>
    </row>
    <row r="61" spans="1:13" ht="18" customHeight="1" x14ac:dyDescent="0.2">
      <c r="A61" s="117" t="s">
        <v>456</v>
      </c>
      <c r="B61" s="117"/>
      <c r="C61" s="117">
        <v>381.93</v>
      </c>
      <c r="D61" s="117">
        <v>381.93</v>
      </c>
      <c r="E61" s="117">
        <v>381.93</v>
      </c>
      <c r="F61" s="117">
        <v>282</v>
      </c>
      <c r="G61" s="117">
        <v>282</v>
      </c>
      <c r="H61" s="117">
        <v>282</v>
      </c>
      <c r="I61" s="112">
        <v>107705.47</v>
      </c>
      <c r="J61" s="112">
        <v>107705.47</v>
      </c>
      <c r="K61" s="112">
        <v>107705.47</v>
      </c>
    </row>
    <row r="62" spans="1:13" ht="21" customHeight="1" x14ac:dyDescent="0.2">
      <c r="A62" s="117" t="s">
        <v>457</v>
      </c>
      <c r="B62" s="117"/>
      <c r="C62" s="117">
        <v>145.99</v>
      </c>
      <c r="D62" s="117">
        <v>145.99</v>
      </c>
      <c r="E62" s="117">
        <v>145.99</v>
      </c>
      <c r="F62" s="117">
        <v>282</v>
      </c>
      <c r="G62" s="117">
        <v>282</v>
      </c>
      <c r="H62" s="117">
        <v>282</v>
      </c>
      <c r="I62" s="112">
        <v>41167.9</v>
      </c>
      <c r="J62" s="112">
        <v>41167.9</v>
      </c>
      <c r="K62" s="112">
        <v>41167.9</v>
      </c>
    </row>
    <row r="63" spans="1:13" ht="51" x14ac:dyDescent="0.2">
      <c r="A63" s="117" t="s">
        <v>458</v>
      </c>
      <c r="B63" s="117"/>
      <c r="C63" s="117"/>
      <c r="D63" s="117"/>
      <c r="E63" s="117"/>
      <c r="F63" s="117"/>
      <c r="G63" s="117"/>
      <c r="H63" s="117"/>
      <c r="I63" s="112">
        <f>I64</f>
        <v>1142350.3900000001</v>
      </c>
      <c r="J63" s="112">
        <f>J64</f>
        <v>1142350.3900000001</v>
      </c>
      <c r="K63" s="112">
        <f>K64</f>
        <v>1142350.3900000001</v>
      </c>
    </row>
    <row r="64" spans="1:13" ht="25.5" x14ac:dyDescent="0.2">
      <c r="A64" s="117" t="s">
        <v>459</v>
      </c>
      <c r="B64" s="117"/>
      <c r="C64" s="117"/>
      <c r="D64" s="117"/>
      <c r="E64" s="117"/>
      <c r="F64" s="117"/>
      <c r="G64" s="117"/>
      <c r="H64" s="117"/>
      <c r="I64" s="112">
        <f>I65+I66</f>
        <v>1142350.3900000001</v>
      </c>
      <c r="J64" s="112">
        <f>J65+J66</f>
        <v>1142350.3900000001</v>
      </c>
      <c r="K64" s="112">
        <f>K65+K66</f>
        <v>1142350.3900000001</v>
      </c>
    </row>
    <row r="65" spans="1:13" x14ac:dyDescent="0.2">
      <c r="A65" s="117" t="s">
        <v>435</v>
      </c>
      <c r="B65" s="117"/>
      <c r="C65" s="117">
        <v>3111.18</v>
      </c>
      <c r="D65" s="117">
        <v>3111.18</v>
      </c>
      <c r="E65" s="117">
        <v>3111.18</v>
      </c>
      <c r="F65" s="117">
        <v>282</v>
      </c>
      <c r="G65" s="117">
        <v>282</v>
      </c>
      <c r="H65" s="117">
        <v>282</v>
      </c>
      <c r="I65" s="112">
        <v>877352.74</v>
      </c>
      <c r="J65" s="112">
        <v>877352.74</v>
      </c>
      <c r="K65" s="112">
        <v>877352.74</v>
      </c>
    </row>
    <row r="66" spans="1:13" x14ac:dyDescent="0.2">
      <c r="A66" s="117" t="s">
        <v>460</v>
      </c>
      <c r="B66" s="117"/>
      <c r="C66" s="117">
        <v>939.71</v>
      </c>
      <c r="D66" s="117">
        <v>939.71</v>
      </c>
      <c r="E66" s="117">
        <v>939.71</v>
      </c>
      <c r="F66" s="117">
        <v>282</v>
      </c>
      <c r="G66" s="117">
        <v>282</v>
      </c>
      <c r="H66" s="117">
        <v>282</v>
      </c>
      <c r="I66" s="112">
        <v>264997.65000000002</v>
      </c>
      <c r="J66" s="112">
        <v>264997.65000000002</v>
      </c>
      <c r="K66" s="112">
        <v>264997.65000000002</v>
      </c>
    </row>
    <row r="67" spans="1:13" ht="25.5" x14ac:dyDescent="0.2">
      <c r="A67" s="117" t="s">
        <v>461</v>
      </c>
      <c r="B67" s="117"/>
      <c r="C67" s="117"/>
      <c r="D67" s="117"/>
      <c r="E67" s="117"/>
      <c r="F67" s="117"/>
      <c r="G67" s="117"/>
      <c r="H67" s="117"/>
      <c r="I67" s="112">
        <f>I68+I69+I70</f>
        <v>99641.709999999992</v>
      </c>
      <c r="J67" s="112">
        <f>J68+J69+J70</f>
        <v>99641.709999999992</v>
      </c>
      <c r="K67" s="112">
        <f>K68+K69+K70</f>
        <v>99641.709999999992</v>
      </c>
    </row>
    <row r="68" spans="1:13" x14ac:dyDescent="0.2">
      <c r="A68" s="117" t="s">
        <v>462</v>
      </c>
      <c r="B68" s="117"/>
      <c r="C68" s="117">
        <v>4.2</v>
      </c>
      <c r="D68" s="117">
        <v>4.2</v>
      </c>
      <c r="E68" s="117">
        <v>4.2</v>
      </c>
      <c r="F68" s="117">
        <v>282</v>
      </c>
      <c r="G68" s="117">
        <v>282</v>
      </c>
      <c r="H68" s="117">
        <v>282</v>
      </c>
      <c r="I68" s="112">
        <v>1183.58</v>
      </c>
      <c r="J68" s="112">
        <v>1183.58</v>
      </c>
      <c r="K68" s="112">
        <v>1183.58</v>
      </c>
    </row>
    <row r="69" spans="1:13" x14ac:dyDescent="0.2">
      <c r="A69" s="117" t="s">
        <v>463</v>
      </c>
      <c r="B69" s="117"/>
      <c r="C69" s="117">
        <v>19.53</v>
      </c>
      <c r="D69" s="117">
        <v>19.53</v>
      </c>
      <c r="E69" s="117">
        <v>19.53</v>
      </c>
      <c r="F69" s="117">
        <v>282</v>
      </c>
      <c r="G69" s="117">
        <v>282</v>
      </c>
      <c r="H69" s="117">
        <v>282</v>
      </c>
      <c r="I69" s="112">
        <v>5506.2</v>
      </c>
      <c r="J69" s="112">
        <v>5506.2</v>
      </c>
      <c r="K69" s="112">
        <v>5506.2</v>
      </c>
    </row>
    <row r="70" spans="1:13" ht="25.5" x14ac:dyDescent="0.2">
      <c r="A70" s="117" t="s">
        <v>464</v>
      </c>
      <c r="B70" s="117"/>
      <c r="C70" s="117">
        <v>329.62</v>
      </c>
      <c r="D70" s="117">
        <v>329.62</v>
      </c>
      <c r="E70" s="117">
        <v>329.62</v>
      </c>
      <c r="F70" s="117">
        <v>282</v>
      </c>
      <c r="G70" s="117">
        <v>282</v>
      </c>
      <c r="H70" s="117">
        <v>282</v>
      </c>
      <c r="I70" s="112">
        <v>92951.93</v>
      </c>
      <c r="J70" s="112">
        <v>92951.93</v>
      </c>
      <c r="K70" s="112">
        <v>92951.93</v>
      </c>
      <c r="M70" s="37"/>
    </row>
    <row r="71" spans="1:13" ht="21.75" customHeight="1" x14ac:dyDescent="0.2">
      <c r="A71" s="117" t="s">
        <v>133</v>
      </c>
      <c r="B71" s="116">
        <v>9000</v>
      </c>
      <c r="C71" s="116" t="s">
        <v>11</v>
      </c>
      <c r="D71" s="116" t="s">
        <v>11</v>
      </c>
      <c r="E71" s="116" t="s">
        <v>11</v>
      </c>
      <c r="F71" s="116" t="s">
        <v>11</v>
      </c>
      <c r="G71" s="116" t="s">
        <v>11</v>
      </c>
      <c r="H71" s="116" t="s">
        <v>11</v>
      </c>
      <c r="I71" s="111">
        <f>I57+I58+I60+I62+I63+I67</f>
        <v>2442812.11</v>
      </c>
      <c r="J71" s="111">
        <f>J57+J58+J60+J62+J63+J67</f>
        <v>3933599.7700000005</v>
      </c>
      <c r="K71" s="111">
        <f>K57+K58+K60+K62+K63+K67</f>
        <v>3933599.7700000005</v>
      </c>
    </row>
    <row r="73" spans="1:13" x14ac:dyDescent="0.2">
      <c r="A73" s="3" t="s">
        <v>151</v>
      </c>
    </row>
    <row r="74" spans="1:13" x14ac:dyDescent="0.2">
      <c r="A74" s="388" t="s">
        <v>0</v>
      </c>
      <c r="B74" s="388" t="s">
        <v>1</v>
      </c>
      <c r="C74" s="388" t="s">
        <v>148</v>
      </c>
      <c r="D74" s="388"/>
      <c r="E74" s="388"/>
      <c r="F74" s="388" t="s">
        <v>149</v>
      </c>
      <c r="G74" s="388"/>
      <c r="H74" s="388"/>
      <c r="I74" s="388" t="s">
        <v>150</v>
      </c>
      <c r="J74" s="388"/>
      <c r="K74" s="388"/>
    </row>
    <row r="75" spans="1:13" x14ac:dyDescent="0.2">
      <c r="A75" s="388"/>
      <c r="B75" s="388"/>
      <c r="C75" s="220" t="s">
        <v>418</v>
      </c>
      <c r="D75" s="220" t="s">
        <v>548</v>
      </c>
      <c r="E75" s="220" t="s">
        <v>583</v>
      </c>
      <c r="F75" s="220" t="s">
        <v>418</v>
      </c>
      <c r="G75" s="220" t="s">
        <v>548</v>
      </c>
      <c r="H75" s="220" t="s">
        <v>583</v>
      </c>
      <c r="I75" s="220" t="s">
        <v>418</v>
      </c>
      <c r="J75" s="220" t="s">
        <v>548</v>
      </c>
      <c r="K75" s="220" t="s">
        <v>583</v>
      </c>
    </row>
    <row r="76" spans="1:13" ht="38.25" x14ac:dyDescent="0.2">
      <c r="A76" s="388"/>
      <c r="B76" s="388"/>
      <c r="C76" s="2" t="s">
        <v>73</v>
      </c>
      <c r="D76" s="2" t="s">
        <v>74</v>
      </c>
      <c r="E76" s="2" t="s">
        <v>75</v>
      </c>
      <c r="F76" s="2" t="s">
        <v>73</v>
      </c>
      <c r="G76" s="2" t="s">
        <v>74</v>
      </c>
      <c r="H76" s="2" t="s">
        <v>75</v>
      </c>
      <c r="I76" s="2" t="s">
        <v>73</v>
      </c>
      <c r="J76" s="2" t="s">
        <v>74</v>
      </c>
      <c r="K76" s="2" t="s">
        <v>75</v>
      </c>
    </row>
    <row r="77" spans="1:13" x14ac:dyDescent="0.2">
      <c r="A77" s="2">
        <v>1</v>
      </c>
      <c r="B77" s="2">
        <v>2</v>
      </c>
      <c r="C77" s="2">
        <v>3</v>
      </c>
      <c r="D77" s="2">
        <v>4</v>
      </c>
      <c r="E77" s="2">
        <v>5</v>
      </c>
      <c r="F77" s="2">
        <v>6</v>
      </c>
      <c r="G77" s="2">
        <v>7</v>
      </c>
      <c r="H77" s="2">
        <v>8</v>
      </c>
      <c r="I77" s="2">
        <v>9</v>
      </c>
      <c r="J77" s="2">
        <v>10</v>
      </c>
      <c r="K77" s="2">
        <v>11</v>
      </c>
    </row>
    <row r="78" spans="1:13" x14ac:dyDescent="0.2">
      <c r="A78" s="116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3" ht="25.5" x14ac:dyDescent="0.2">
      <c r="A79" s="6" t="s">
        <v>437</v>
      </c>
      <c r="B79" s="2">
        <v>1</v>
      </c>
      <c r="C79" s="5">
        <f>C80+C81</f>
        <v>61793.17</v>
      </c>
      <c r="D79" s="5">
        <f>D80+D81</f>
        <v>61793.17</v>
      </c>
      <c r="E79" s="5">
        <f>E80+E81</f>
        <v>61793.17</v>
      </c>
      <c r="F79" s="6">
        <v>27</v>
      </c>
      <c r="G79" s="6">
        <v>27</v>
      </c>
      <c r="H79" s="6">
        <v>27</v>
      </c>
      <c r="I79" s="5">
        <f>I80+I81</f>
        <v>1676518.27</v>
      </c>
      <c r="J79" s="5">
        <f>J80+J81</f>
        <v>1676518.27</v>
      </c>
      <c r="K79" s="5">
        <f>K80+K81</f>
        <v>1676518.27</v>
      </c>
    </row>
    <row r="80" spans="1:13" x14ac:dyDescent="0.2">
      <c r="A80" s="6" t="s">
        <v>435</v>
      </c>
      <c r="B80" s="2">
        <v>2</v>
      </c>
      <c r="C80" s="5">
        <v>47690.58</v>
      </c>
      <c r="D80" s="5">
        <v>47690.58</v>
      </c>
      <c r="E80" s="5">
        <v>47690.58</v>
      </c>
      <c r="F80" s="6">
        <v>27</v>
      </c>
      <c r="G80" s="6">
        <v>27</v>
      </c>
      <c r="H80" s="6">
        <v>27</v>
      </c>
      <c r="I80" s="5">
        <v>1287648.44</v>
      </c>
      <c r="J80" s="5">
        <v>1287648.44</v>
      </c>
      <c r="K80" s="5">
        <v>1287648.44</v>
      </c>
    </row>
    <row r="81" spans="1:11" ht="25.5" x14ac:dyDescent="0.2">
      <c r="A81" s="6" t="s">
        <v>436</v>
      </c>
      <c r="B81" s="6"/>
      <c r="C81" s="6">
        <v>14102.59</v>
      </c>
      <c r="D81" s="6">
        <v>14102.59</v>
      </c>
      <c r="E81" s="6">
        <v>14102.59</v>
      </c>
      <c r="F81" s="6">
        <v>27</v>
      </c>
      <c r="G81" s="6">
        <v>27</v>
      </c>
      <c r="H81" s="6">
        <v>27</v>
      </c>
      <c r="I81" s="5">
        <v>388869.83</v>
      </c>
      <c r="J81" s="5">
        <v>388869.83</v>
      </c>
      <c r="K81" s="5">
        <v>388869.83</v>
      </c>
    </row>
    <row r="82" spans="1:11" x14ac:dyDescent="0.2">
      <c r="A82" s="6" t="s">
        <v>447</v>
      </c>
      <c r="B82" s="6"/>
      <c r="C82" s="6"/>
      <c r="D82" s="6"/>
      <c r="E82" s="6"/>
      <c r="F82" s="6"/>
      <c r="G82" s="6"/>
      <c r="H82" s="6"/>
      <c r="I82" s="5">
        <f>I83</f>
        <v>7139.23</v>
      </c>
      <c r="J82" s="5">
        <f>J83</f>
        <v>7139.23</v>
      </c>
      <c r="K82" s="5">
        <f>K83</f>
        <v>7139.23</v>
      </c>
    </row>
    <row r="83" spans="1:11" x14ac:dyDescent="0.2">
      <c r="A83" s="6" t="s">
        <v>439</v>
      </c>
      <c r="B83" s="6"/>
      <c r="C83" s="6">
        <v>264.42</v>
      </c>
      <c r="D83" s="6">
        <v>264.42</v>
      </c>
      <c r="E83" s="6">
        <v>264.42</v>
      </c>
      <c r="F83" s="6">
        <v>27</v>
      </c>
      <c r="G83" s="6">
        <v>27</v>
      </c>
      <c r="H83" s="6">
        <v>27</v>
      </c>
      <c r="I83" s="5">
        <v>7139.23</v>
      </c>
      <c r="J83" s="5">
        <v>7139.23</v>
      </c>
      <c r="K83" s="5">
        <v>7139.23</v>
      </c>
    </row>
    <row r="84" spans="1:11" ht="25.5" x14ac:dyDescent="0.2">
      <c r="A84" s="6" t="s">
        <v>440</v>
      </c>
      <c r="B84" s="6"/>
      <c r="C84" s="6">
        <v>0</v>
      </c>
      <c r="D84" s="6"/>
      <c r="E84" s="6"/>
      <c r="F84" s="6">
        <v>0</v>
      </c>
      <c r="G84" s="6">
        <v>0</v>
      </c>
      <c r="H84" s="6">
        <v>0</v>
      </c>
      <c r="I84" s="5">
        <v>0</v>
      </c>
      <c r="J84" s="5">
        <v>0</v>
      </c>
      <c r="K84" s="5">
        <v>0</v>
      </c>
    </row>
    <row r="85" spans="1:11" x14ac:dyDescent="0.2">
      <c r="A85" s="6" t="s">
        <v>441</v>
      </c>
      <c r="B85" s="6"/>
      <c r="C85" s="6"/>
      <c r="D85" s="6"/>
      <c r="E85" s="6"/>
      <c r="F85" s="6"/>
      <c r="G85" s="6"/>
      <c r="H85" s="6"/>
      <c r="I85" s="5">
        <f>I86+I87+I88</f>
        <v>8031.0300000000007</v>
      </c>
      <c r="J85" s="5">
        <f>J86+J87+J88</f>
        <v>8031.0300000000007</v>
      </c>
      <c r="K85" s="5">
        <f>K86+K87+K88</f>
        <v>8031.0300000000007</v>
      </c>
    </row>
    <row r="86" spans="1:11" ht="20.25" customHeight="1" x14ac:dyDescent="0.2">
      <c r="A86" s="117" t="s">
        <v>237</v>
      </c>
      <c r="B86" s="117"/>
      <c r="C86" s="117">
        <v>36.5</v>
      </c>
      <c r="D86" s="117">
        <v>36.5</v>
      </c>
      <c r="E86" s="117">
        <v>36.5</v>
      </c>
      <c r="F86" s="117">
        <v>27</v>
      </c>
      <c r="G86" s="117">
        <v>27</v>
      </c>
      <c r="H86" s="117">
        <v>27</v>
      </c>
      <c r="I86" s="112">
        <v>985.4</v>
      </c>
      <c r="J86" s="112">
        <v>985.4</v>
      </c>
      <c r="K86" s="112">
        <v>985.4</v>
      </c>
    </row>
    <row r="87" spans="1:11" ht="25.5" x14ac:dyDescent="0.2">
      <c r="A87" s="6" t="s">
        <v>465</v>
      </c>
      <c r="B87" s="6"/>
      <c r="C87" s="6">
        <v>63.87</v>
      </c>
      <c r="D87" s="6">
        <v>63.87</v>
      </c>
      <c r="E87" s="6">
        <v>63.87</v>
      </c>
      <c r="F87" s="6">
        <v>27</v>
      </c>
      <c r="G87" s="6">
        <v>27</v>
      </c>
      <c r="H87" s="6">
        <v>27</v>
      </c>
      <c r="I87" s="5">
        <v>1724.45</v>
      </c>
      <c r="J87" s="5">
        <v>1724.45</v>
      </c>
      <c r="K87" s="5">
        <v>1724.45</v>
      </c>
    </row>
    <row r="88" spans="1:11" ht="18" customHeight="1" x14ac:dyDescent="0.2">
      <c r="A88" s="6" t="s">
        <v>442</v>
      </c>
      <c r="B88" s="6"/>
      <c r="C88" s="6">
        <v>197.08</v>
      </c>
      <c r="D88" s="6">
        <v>197.08</v>
      </c>
      <c r="E88" s="6">
        <v>197.08</v>
      </c>
      <c r="F88" s="6">
        <v>27</v>
      </c>
      <c r="G88" s="6">
        <v>27</v>
      </c>
      <c r="H88" s="6">
        <v>27</v>
      </c>
      <c r="I88" s="5">
        <v>5321.18</v>
      </c>
      <c r="J88" s="5">
        <v>5321.18</v>
      </c>
      <c r="K88" s="5">
        <v>5321.18</v>
      </c>
    </row>
    <row r="89" spans="1:11" ht="21.75" customHeight="1" x14ac:dyDescent="0.2">
      <c r="A89" s="6" t="s">
        <v>133</v>
      </c>
      <c r="B89" s="2">
        <v>9000</v>
      </c>
      <c r="C89" s="2" t="s">
        <v>11</v>
      </c>
      <c r="D89" s="2" t="s">
        <v>11</v>
      </c>
      <c r="E89" s="2" t="s">
        <v>11</v>
      </c>
      <c r="F89" s="2" t="s">
        <v>11</v>
      </c>
      <c r="G89" s="2" t="s">
        <v>11</v>
      </c>
      <c r="H89" s="2" t="s">
        <v>11</v>
      </c>
      <c r="I89" s="33">
        <f>I79+I82+I85</f>
        <v>1691688.53</v>
      </c>
      <c r="J89" s="33">
        <f>J79+J82+J85</f>
        <v>1691688.53</v>
      </c>
      <c r="K89" s="33">
        <f>K79+K82+K85</f>
        <v>1691688.53</v>
      </c>
    </row>
    <row r="91" spans="1:11" x14ac:dyDescent="0.2">
      <c r="A91" s="109" t="s">
        <v>151</v>
      </c>
      <c r="B91" s="109"/>
      <c r="C91" s="109"/>
      <c r="D91" s="109"/>
      <c r="E91" s="109"/>
      <c r="F91" s="109"/>
      <c r="G91" s="109"/>
      <c r="H91" s="109"/>
      <c r="I91" s="109"/>
      <c r="J91" s="109"/>
      <c r="K91" s="109"/>
    </row>
    <row r="92" spans="1:11" x14ac:dyDescent="0.2">
      <c r="A92" s="393" t="s">
        <v>0</v>
      </c>
      <c r="B92" s="393" t="s">
        <v>1</v>
      </c>
      <c r="C92" s="393" t="s">
        <v>148</v>
      </c>
      <c r="D92" s="393"/>
      <c r="E92" s="393"/>
      <c r="F92" s="393" t="s">
        <v>149</v>
      </c>
      <c r="G92" s="393"/>
      <c r="H92" s="393"/>
      <c r="I92" s="393" t="s">
        <v>150</v>
      </c>
      <c r="J92" s="393"/>
      <c r="K92" s="393"/>
    </row>
    <row r="93" spans="1:11" x14ac:dyDescent="0.2">
      <c r="A93" s="393"/>
      <c r="B93" s="393"/>
      <c r="C93" s="220" t="s">
        <v>418</v>
      </c>
      <c r="D93" s="220" t="s">
        <v>548</v>
      </c>
      <c r="E93" s="220" t="s">
        <v>583</v>
      </c>
      <c r="F93" s="220" t="s">
        <v>418</v>
      </c>
      <c r="G93" s="220" t="s">
        <v>548</v>
      </c>
      <c r="H93" s="220" t="s">
        <v>583</v>
      </c>
      <c r="I93" s="220" t="s">
        <v>418</v>
      </c>
      <c r="J93" s="220" t="s">
        <v>548</v>
      </c>
      <c r="K93" s="220" t="s">
        <v>583</v>
      </c>
    </row>
    <row r="94" spans="1:11" ht="38.25" x14ac:dyDescent="0.2">
      <c r="A94" s="393"/>
      <c r="B94" s="393"/>
      <c r="C94" s="116" t="s">
        <v>73</v>
      </c>
      <c r="D94" s="116" t="s">
        <v>74</v>
      </c>
      <c r="E94" s="116" t="s">
        <v>75</v>
      </c>
      <c r="F94" s="116" t="s">
        <v>73</v>
      </c>
      <c r="G94" s="116" t="s">
        <v>74</v>
      </c>
      <c r="H94" s="116" t="s">
        <v>75</v>
      </c>
      <c r="I94" s="116" t="s">
        <v>73</v>
      </c>
      <c r="J94" s="116" t="s">
        <v>74</v>
      </c>
      <c r="K94" s="116" t="s">
        <v>75</v>
      </c>
    </row>
    <row r="95" spans="1:11" x14ac:dyDescent="0.2">
      <c r="A95" s="116">
        <v>1</v>
      </c>
      <c r="B95" s="116">
        <v>2</v>
      </c>
      <c r="C95" s="116">
        <v>3</v>
      </c>
      <c r="D95" s="116">
        <v>4</v>
      </c>
      <c r="E95" s="116">
        <v>5</v>
      </c>
      <c r="F95" s="116">
        <v>6</v>
      </c>
      <c r="G95" s="116">
        <v>7</v>
      </c>
      <c r="H95" s="116">
        <v>8</v>
      </c>
      <c r="I95" s="116">
        <v>9</v>
      </c>
      <c r="J95" s="116">
        <v>10</v>
      </c>
      <c r="K95" s="116">
        <v>11</v>
      </c>
    </row>
    <row r="96" spans="1:11" x14ac:dyDescent="0.2">
      <c r="A96" s="116"/>
      <c r="B96" s="116"/>
      <c r="C96" s="116"/>
      <c r="D96" s="116"/>
      <c r="E96" s="116"/>
      <c r="F96" s="116"/>
      <c r="G96" s="116"/>
      <c r="H96" s="116"/>
      <c r="I96" s="116"/>
      <c r="J96" s="116"/>
      <c r="K96" s="116"/>
    </row>
    <row r="97" spans="1:13" x14ac:dyDescent="0.2">
      <c r="A97" s="117" t="s">
        <v>452</v>
      </c>
      <c r="B97" s="116">
        <v>1</v>
      </c>
      <c r="C97" s="112">
        <v>8309.67</v>
      </c>
      <c r="D97" s="112">
        <v>8309.67</v>
      </c>
      <c r="E97" s="112">
        <v>8309.67</v>
      </c>
      <c r="F97" s="117">
        <v>27</v>
      </c>
      <c r="G97" s="117">
        <v>27</v>
      </c>
      <c r="H97" s="117">
        <v>27</v>
      </c>
      <c r="I97" s="112">
        <v>224361.13</v>
      </c>
      <c r="J97" s="112">
        <v>224361.13</v>
      </c>
      <c r="K97" s="112">
        <v>224361.13</v>
      </c>
    </row>
    <row r="98" spans="1:13" ht="25.5" x14ac:dyDescent="0.2">
      <c r="A98" s="117" t="s">
        <v>453</v>
      </c>
      <c r="B98" s="116">
        <v>2</v>
      </c>
      <c r="C98" s="112"/>
      <c r="D98" s="117"/>
      <c r="E98" s="117"/>
      <c r="F98" s="117"/>
      <c r="G98" s="117"/>
      <c r="H98" s="117"/>
      <c r="I98" s="112">
        <f>I99</f>
        <v>19092.150000000001</v>
      </c>
      <c r="J98" s="112">
        <f>J99</f>
        <v>19092.150000000001</v>
      </c>
      <c r="K98" s="112">
        <f>K99</f>
        <v>19092.150000000001</v>
      </c>
    </row>
    <row r="99" spans="1:13" ht="25.5" x14ac:dyDescent="0.2">
      <c r="A99" s="117" t="s">
        <v>454</v>
      </c>
      <c r="B99" s="117"/>
      <c r="C99" s="117">
        <v>707.12</v>
      </c>
      <c r="D99" s="117">
        <v>707.12</v>
      </c>
      <c r="E99" s="117">
        <v>707.12</v>
      </c>
      <c r="F99" s="117">
        <v>27</v>
      </c>
      <c r="G99" s="117">
        <v>27</v>
      </c>
      <c r="H99" s="117">
        <v>27</v>
      </c>
      <c r="I99" s="112">
        <v>19092.150000000001</v>
      </c>
      <c r="J99" s="112">
        <v>19092.150000000001</v>
      </c>
      <c r="K99" s="112">
        <v>19092.150000000001</v>
      </c>
    </row>
    <row r="100" spans="1:13" x14ac:dyDescent="0.2">
      <c r="A100" s="117" t="s">
        <v>455</v>
      </c>
      <c r="B100" s="117"/>
      <c r="C100" s="117"/>
      <c r="D100" s="117"/>
      <c r="E100" s="117"/>
      <c r="F100" s="117"/>
      <c r="G100" s="117"/>
      <c r="H100" s="117"/>
      <c r="I100" s="112">
        <f>I101</f>
        <v>10312.23</v>
      </c>
      <c r="J100" s="112">
        <f>J101</f>
        <v>10312.23</v>
      </c>
      <c r="K100" s="112">
        <f>K101</f>
        <v>10312.23</v>
      </c>
    </row>
    <row r="101" spans="1:13" x14ac:dyDescent="0.2">
      <c r="A101" s="117" t="s">
        <v>456</v>
      </c>
      <c r="B101" s="117"/>
      <c r="C101" s="117">
        <v>381.93</v>
      </c>
      <c r="D101" s="117">
        <v>381.93</v>
      </c>
      <c r="E101" s="117">
        <v>381.93</v>
      </c>
      <c r="F101" s="117">
        <v>27</v>
      </c>
      <c r="G101" s="117">
        <v>27</v>
      </c>
      <c r="H101" s="117">
        <v>27</v>
      </c>
      <c r="I101" s="112">
        <v>10312.23</v>
      </c>
      <c r="J101" s="112">
        <v>10312.23</v>
      </c>
      <c r="K101" s="112">
        <v>10312.23</v>
      </c>
    </row>
    <row r="102" spans="1:13" x14ac:dyDescent="0.2">
      <c r="A102" s="117" t="s">
        <v>457</v>
      </c>
      <c r="B102" s="117"/>
      <c r="C102" s="117">
        <v>145.99</v>
      </c>
      <c r="D102" s="117">
        <v>145.99</v>
      </c>
      <c r="E102" s="117">
        <v>145.99</v>
      </c>
      <c r="F102" s="117">
        <v>27</v>
      </c>
      <c r="G102" s="117">
        <v>27</v>
      </c>
      <c r="H102" s="117">
        <v>27</v>
      </c>
      <c r="I102" s="112">
        <v>3941.61</v>
      </c>
      <c r="J102" s="112">
        <v>3941.61</v>
      </c>
      <c r="K102" s="112">
        <v>3941.61</v>
      </c>
    </row>
    <row r="103" spans="1:13" ht="51" x14ac:dyDescent="0.2">
      <c r="A103" s="117" t="s">
        <v>458</v>
      </c>
      <c r="B103" s="117"/>
      <c r="C103" s="117"/>
      <c r="D103" s="117"/>
      <c r="E103" s="117"/>
      <c r="F103" s="117"/>
      <c r="G103" s="117"/>
      <c r="H103" s="117"/>
      <c r="I103" s="112">
        <f>I104</f>
        <v>109373.98</v>
      </c>
      <c r="J103" s="112">
        <f>J104</f>
        <v>109373.98</v>
      </c>
      <c r="K103" s="112">
        <f>K104</f>
        <v>109373.98</v>
      </c>
    </row>
    <row r="104" spans="1:13" ht="25.5" x14ac:dyDescent="0.2">
      <c r="A104" s="117" t="s">
        <v>459</v>
      </c>
      <c r="B104" s="117"/>
      <c r="C104" s="117"/>
      <c r="D104" s="117"/>
      <c r="E104" s="117"/>
      <c r="F104" s="117"/>
      <c r="G104" s="117"/>
      <c r="H104" s="117"/>
      <c r="I104" s="112">
        <f>I105+I106</f>
        <v>109373.98</v>
      </c>
      <c r="J104" s="112">
        <f>J105+J106</f>
        <v>109373.98</v>
      </c>
      <c r="K104" s="112">
        <f>K105+K106</f>
        <v>109373.98</v>
      </c>
    </row>
    <row r="105" spans="1:13" x14ac:dyDescent="0.2">
      <c r="A105" s="117" t="s">
        <v>435</v>
      </c>
      <c r="B105" s="117"/>
      <c r="C105" s="117">
        <v>3111.18</v>
      </c>
      <c r="D105" s="117">
        <v>3111.18</v>
      </c>
      <c r="E105" s="117">
        <v>3111.18</v>
      </c>
      <c r="F105" s="109">
        <v>27</v>
      </c>
      <c r="G105" s="117">
        <v>27</v>
      </c>
      <c r="H105" s="117">
        <v>27</v>
      </c>
      <c r="I105" s="112">
        <v>84004.59</v>
      </c>
      <c r="J105" s="112">
        <v>84004.59</v>
      </c>
      <c r="K105" s="112">
        <v>84004.59</v>
      </c>
    </row>
    <row r="106" spans="1:13" x14ac:dyDescent="0.2">
      <c r="A106" s="117" t="s">
        <v>460</v>
      </c>
      <c r="B106" s="117"/>
      <c r="C106" s="117">
        <v>939.71</v>
      </c>
      <c r="D106" s="117">
        <v>939.71</v>
      </c>
      <c r="E106" s="117">
        <v>939.71</v>
      </c>
      <c r="F106" s="117">
        <v>27</v>
      </c>
      <c r="G106" s="117">
        <v>27</v>
      </c>
      <c r="H106" s="117">
        <v>27</v>
      </c>
      <c r="I106" s="112">
        <v>25369.39</v>
      </c>
      <c r="J106" s="112">
        <v>25369.39</v>
      </c>
      <c r="K106" s="112">
        <v>25369.39</v>
      </c>
    </row>
    <row r="107" spans="1:13" ht="25.5" x14ac:dyDescent="0.2">
      <c r="A107" s="117" t="s">
        <v>461</v>
      </c>
      <c r="B107" s="117"/>
      <c r="C107" s="117"/>
      <c r="D107" s="117"/>
      <c r="E107" s="117"/>
      <c r="F107" s="117"/>
      <c r="G107" s="117"/>
      <c r="H107" s="117"/>
      <c r="I107" s="112">
        <f>I108+I109+I110</f>
        <v>9540.15</v>
      </c>
      <c r="J107" s="112">
        <f>J108+J109+J110</f>
        <v>9540.15</v>
      </c>
      <c r="K107" s="112">
        <f>K108+K109+K110</f>
        <v>9540.15</v>
      </c>
    </row>
    <row r="108" spans="1:13" x14ac:dyDescent="0.2">
      <c r="A108" s="117" t="s">
        <v>462</v>
      </c>
      <c r="B108" s="117"/>
      <c r="C108" s="117">
        <v>4.2</v>
      </c>
      <c r="D108" s="117">
        <v>4.2</v>
      </c>
      <c r="E108" s="117">
        <v>4.2</v>
      </c>
      <c r="F108" s="117">
        <v>27</v>
      </c>
      <c r="G108" s="117">
        <v>27</v>
      </c>
      <c r="H108" s="117">
        <v>27</v>
      </c>
      <c r="I108" s="112">
        <v>113.32</v>
      </c>
      <c r="J108" s="112">
        <v>113.32</v>
      </c>
      <c r="K108" s="112">
        <v>113.32</v>
      </c>
    </row>
    <row r="109" spans="1:13" x14ac:dyDescent="0.2">
      <c r="A109" s="117" t="s">
        <v>463</v>
      </c>
      <c r="B109" s="117"/>
      <c r="C109" s="117">
        <v>19.53</v>
      </c>
      <c r="D109" s="117">
        <v>19.53</v>
      </c>
      <c r="E109" s="117">
        <v>19.53</v>
      </c>
      <c r="F109" s="117">
        <v>27</v>
      </c>
      <c r="G109" s="117">
        <v>27</v>
      </c>
      <c r="H109" s="117">
        <v>27</v>
      </c>
      <c r="I109" s="112">
        <v>527.19000000000005</v>
      </c>
      <c r="J109" s="112">
        <v>527.19000000000005</v>
      </c>
      <c r="K109" s="112">
        <v>527.19000000000005</v>
      </c>
    </row>
    <row r="110" spans="1:13" ht="25.5" x14ac:dyDescent="0.2">
      <c r="A110" s="117" t="s">
        <v>464</v>
      </c>
      <c r="B110" s="117"/>
      <c r="C110" s="117">
        <v>329.62</v>
      </c>
      <c r="D110" s="117">
        <v>329.62</v>
      </c>
      <c r="E110" s="117">
        <v>329.62</v>
      </c>
      <c r="F110" s="117">
        <v>27</v>
      </c>
      <c r="G110" s="117">
        <v>27</v>
      </c>
      <c r="H110" s="117">
        <v>27</v>
      </c>
      <c r="I110" s="112">
        <v>8899.64</v>
      </c>
      <c r="J110" s="112">
        <v>8899.64</v>
      </c>
      <c r="K110" s="112">
        <v>8899.64</v>
      </c>
      <c r="M110" s="37"/>
    </row>
    <row r="111" spans="1:13" ht="27" customHeight="1" x14ac:dyDescent="0.2">
      <c r="A111" s="117" t="s">
        <v>133</v>
      </c>
      <c r="B111" s="116">
        <v>9000</v>
      </c>
      <c r="C111" s="116" t="s">
        <v>11</v>
      </c>
      <c r="D111" s="116" t="s">
        <v>11</v>
      </c>
      <c r="E111" s="116" t="s">
        <v>11</v>
      </c>
      <c r="F111" s="116" t="s">
        <v>11</v>
      </c>
      <c r="G111" s="116" t="s">
        <v>11</v>
      </c>
      <c r="H111" s="116" t="s">
        <v>11</v>
      </c>
      <c r="I111" s="111">
        <f>I97+I98+I100+I102+I103+I107</f>
        <v>376621.25</v>
      </c>
      <c r="J111" s="111">
        <f>J97+J98+J100+J102+J103+J107</f>
        <v>376621.25</v>
      </c>
      <c r="K111" s="111">
        <f>K97+K98+K100+K102+K103+K107</f>
        <v>376621.25</v>
      </c>
    </row>
    <row r="113" spans="1:11" x14ac:dyDescent="0.2">
      <c r="A113" s="3" t="s">
        <v>151</v>
      </c>
    </row>
    <row r="114" spans="1:11" x14ac:dyDescent="0.2">
      <c r="A114" s="388" t="s">
        <v>0</v>
      </c>
      <c r="B114" s="388" t="s">
        <v>1</v>
      </c>
      <c r="C114" s="388" t="s">
        <v>148</v>
      </c>
      <c r="D114" s="388"/>
      <c r="E114" s="388"/>
      <c r="F114" s="388" t="s">
        <v>149</v>
      </c>
      <c r="G114" s="388"/>
      <c r="H114" s="388"/>
      <c r="I114" s="388" t="s">
        <v>150</v>
      </c>
      <c r="J114" s="388"/>
      <c r="K114" s="388"/>
    </row>
    <row r="115" spans="1:11" x14ac:dyDescent="0.2">
      <c r="A115" s="388"/>
      <c r="B115" s="388"/>
      <c r="C115" s="220" t="s">
        <v>418</v>
      </c>
      <c r="D115" s="220" t="s">
        <v>548</v>
      </c>
      <c r="E115" s="220" t="s">
        <v>583</v>
      </c>
      <c r="F115" s="220" t="s">
        <v>418</v>
      </c>
      <c r="G115" s="220" t="s">
        <v>548</v>
      </c>
      <c r="H115" s="220" t="s">
        <v>583</v>
      </c>
      <c r="I115" s="220" t="s">
        <v>418</v>
      </c>
      <c r="J115" s="220" t="s">
        <v>548</v>
      </c>
      <c r="K115" s="220" t="s">
        <v>583</v>
      </c>
    </row>
    <row r="116" spans="1:11" ht="38.25" x14ac:dyDescent="0.2">
      <c r="A116" s="388"/>
      <c r="B116" s="388"/>
      <c r="C116" s="2" t="s">
        <v>73</v>
      </c>
      <c r="D116" s="2" t="s">
        <v>74</v>
      </c>
      <c r="E116" s="2" t="s">
        <v>75</v>
      </c>
      <c r="F116" s="2" t="s">
        <v>73</v>
      </c>
      <c r="G116" s="2" t="s">
        <v>74</v>
      </c>
      <c r="H116" s="2" t="s">
        <v>75</v>
      </c>
      <c r="I116" s="2" t="s">
        <v>73</v>
      </c>
      <c r="J116" s="2" t="s">
        <v>74</v>
      </c>
      <c r="K116" s="2" t="s">
        <v>75</v>
      </c>
    </row>
    <row r="117" spans="1:11" x14ac:dyDescent="0.2">
      <c r="A117" s="2">
        <v>1</v>
      </c>
      <c r="B117" s="2">
        <v>2</v>
      </c>
      <c r="C117" s="2">
        <v>3</v>
      </c>
      <c r="D117" s="2">
        <v>4</v>
      </c>
      <c r="E117" s="2">
        <v>5</v>
      </c>
      <c r="F117" s="2">
        <v>6</v>
      </c>
      <c r="G117" s="2">
        <v>7</v>
      </c>
      <c r="H117" s="2">
        <v>8</v>
      </c>
      <c r="I117" s="2">
        <v>9</v>
      </c>
      <c r="J117" s="2">
        <v>10</v>
      </c>
      <c r="K117" s="2">
        <v>11</v>
      </c>
    </row>
    <row r="118" spans="1:11" x14ac:dyDescent="0.2">
      <c r="A118" s="116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ht="25.5" x14ac:dyDescent="0.2">
      <c r="A119" s="6" t="s">
        <v>437</v>
      </c>
      <c r="B119" s="2">
        <v>1</v>
      </c>
      <c r="C119" s="5">
        <f>41926.19+1114.75</f>
        <v>43040.94</v>
      </c>
      <c r="D119" s="5">
        <f>D120+D121</f>
        <v>35778.14</v>
      </c>
      <c r="E119" s="5">
        <f>E120+E121</f>
        <v>35778.14</v>
      </c>
      <c r="F119" s="6">
        <v>234</v>
      </c>
      <c r="G119" s="6">
        <v>234</v>
      </c>
      <c r="H119" s="6">
        <v>234</v>
      </c>
      <c r="I119" s="5">
        <f>I120+I121</f>
        <v>14418460.66</v>
      </c>
      <c r="J119" s="5">
        <f>J120+J121</f>
        <v>12931374.76</v>
      </c>
      <c r="K119" s="5">
        <f>K120+K121</f>
        <v>8372084.7599999998</v>
      </c>
    </row>
    <row r="120" spans="1:11" x14ac:dyDescent="0.2">
      <c r="A120" s="6" t="s">
        <v>435</v>
      </c>
      <c r="B120" s="2">
        <v>2</v>
      </c>
      <c r="C120" s="5">
        <v>32503.38</v>
      </c>
      <c r="D120" s="5">
        <v>27479.37</v>
      </c>
      <c r="E120" s="5">
        <v>27479.37</v>
      </c>
      <c r="F120" s="6">
        <v>234</v>
      </c>
      <c r="G120" s="6">
        <v>234</v>
      </c>
      <c r="H120" s="6">
        <v>234</v>
      </c>
      <c r="I120" s="5">
        <f>C120*F120-10713.8+4621020</f>
        <v>12216097.120000001</v>
      </c>
      <c r="J120" s="5">
        <f>D120*G120+4559290</f>
        <v>10989462.58</v>
      </c>
      <c r="K120" s="5">
        <f t="shared" ref="I120:K121" si="1">E120*H120</f>
        <v>6430172.5800000001</v>
      </c>
    </row>
    <row r="121" spans="1:11" ht="25.5" x14ac:dyDescent="0.2">
      <c r="A121" s="6" t="s">
        <v>436</v>
      </c>
      <c r="B121" s="6"/>
      <c r="C121" s="6">
        <v>9411.81</v>
      </c>
      <c r="D121" s="6">
        <v>8298.77</v>
      </c>
      <c r="E121" s="6">
        <v>8298.77</v>
      </c>
      <c r="F121" s="6">
        <v>234</v>
      </c>
      <c r="G121" s="6">
        <v>234</v>
      </c>
      <c r="H121" s="6">
        <v>234</v>
      </c>
      <c r="I121" s="5">
        <f t="shared" si="1"/>
        <v>2202363.54</v>
      </c>
      <c r="J121" s="5">
        <f t="shared" si="1"/>
        <v>1941912.1800000002</v>
      </c>
      <c r="K121" s="5">
        <f t="shared" si="1"/>
        <v>1941912.1800000002</v>
      </c>
    </row>
    <row r="122" spans="1:11" x14ac:dyDescent="0.2">
      <c r="A122" s="6" t="s">
        <v>447</v>
      </c>
      <c r="B122" s="6"/>
      <c r="C122" s="6"/>
      <c r="D122" s="6"/>
      <c r="E122" s="6"/>
      <c r="F122" s="6"/>
      <c r="G122" s="6"/>
      <c r="H122" s="6"/>
      <c r="I122" s="5">
        <f>I123</f>
        <v>61873.36</v>
      </c>
      <c r="J122" s="5">
        <f>J123</f>
        <v>61873.36</v>
      </c>
      <c r="K122" s="5">
        <f>K123</f>
        <v>61873.36</v>
      </c>
    </row>
    <row r="123" spans="1:11" x14ac:dyDescent="0.2">
      <c r="A123" s="6" t="s">
        <v>439</v>
      </c>
      <c r="B123" s="6"/>
      <c r="C123" s="6">
        <v>264.42</v>
      </c>
      <c r="D123" s="6">
        <v>264.42</v>
      </c>
      <c r="E123" s="6">
        <v>264.42</v>
      </c>
      <c r="F123" s="6">
        <v>234</v>
      </c>
      <c r="G123" s="6">
        <v>234</v>
      </c>
      <c r="H123" s="6">
        <v>234</v>
      </c>
      <c r="I123" s="5">
        <v>61873.36</v>
      </c>
      <c r="J123" s="5">
        <v>61873.36</v>
      </c>
      <c r="K123" s="5">
        <v>61873.36</v>
      </c>
    </row>
    <row r="124" spans="1:11" ht="25.5" x14ac:dyDescent="0.2">
      <c r="A124" s="6" t="s">
        <v>440</v>
      </c>
      <c r="B124" s="6"/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5">
        <v>0</v>
      </c>
      <c r="J124" s="5">
        <v>0</v>
      </c>
      <c r="K124" s="5">
        <v>0</v>
      </c>
    </row>
    <row r="125" spans="1:11" x14ac:dyDescent="0.2">
      <c r="A125" s="6" t="s">
        <v>441</v>
      </c>
      <c r="B125" s="6"/>
      <c r="C125" s="6"/>
      <c r="D125" s="6"/>
      <c r="E125" s="6"/>
      <c r="F125" s="6"/>
      <c r="G125" s="6"/>
      <c r="H125" s="6"/>
      <c r="I125" s="5">
        <f>I126+I127+I128</f>
        <v>69602.19</v>
      </c>
      <c r="J125" s="5">
        <f>J126+J127+J128</f>
        <v>69602.19</v>
      </c>
      <c r="K125" s="5">
        <f>K126+K127+K128</f>
        <v>69602.19</v>
      </c>
    </row>
    <row r="126" spans="1:11" x14ac:dyDescent="0.2">
      <c r="A126" s="6" t="s">
        <v>237</v>
      </c>
      <c r="B126" s="6"/>
      <c r="C126" s="6">
        <v>36.5</v>
      </c>
      <c r="D126" s="6">
        <v>36.5</v>
      </c>
      <c r="E126" s="6">
        <v>36.5</v>
      </c>
      <c r="F126" s="6">
        <v>234</v>
      </c>
      <c r="G126" s="6">
        <v>234</v>
      </c>
      <c r="H126" s="6">
        <v>234</v>
      </c>
      <c r="I126" s="5">
        <v>8540.15</v>
      </c>
      <c r="J126" s="5">
        <v>8540.15</v>
      </c>
      <c r="K126" s="5">
        <v>8540.15</v>
      </c>
    </row>
    <row r="127" spans="1:11" ht="25.5" x14ac:dyDescent="0.2">
      <c r="A127" s="6" t="s">
        <v>465</v>
      </c>
      <c r="B127" s="6"/>
      <c r="C127" s="6">
        <v>63.87</v>
      </c>
      <c r="D127" s="6">
        <v>63.87</v>
      </c>
      <c r="E127" s="6">
        <v>63.87</v>
      </c>
      <c r="F127" s="6">
        <v>234</v>
      </c>
      <c r="G127" s="6">
        <v>234</v>
      </c>
      <c r="H127" s="6">
        <v>234</v>
      </c>
      <c r="I127" s="5">
        <v>14945.26</v>
      </c>
      <c r="J127" s="5">
        <v>14945.26</v>
      </c>
      <c r="K127" s="5">
        <v>14945.26</v>
      </c>
    </row>
    <row r="128" spans="1:11" x14ac:dyDescent="0.2">
      <c r="A128" s="6" t="s">
        <v>442</v>
      </c>
      <c r="B128" s="6"/>
      <c r="C128" s="6">
        <v>197.08</v>
      </c>
      <c r="D128" s="6">
        <v>197.08</v>
      </c>
      <c r="E128" s="6">
        <v>197.08</v>
      </c>
      <c r="F128" s="6">
        <v>234</v>
      </c>
      <c r="G128" s="6">
        <v>234</v>
      </c>
      <c r="H128" s="6">
        <v>234</v>
      </c>
      <c r="I128" s="5">
        <v>46116.78</v>
      </c>
      <c r="J128" s="5">
        <v>46116.78</v>
      </c>
      <c r="K128" s="5">
        <v>46116.78</v>
      </c>
    </row>
    <row r="129" spans="1:11" ht="22.5" customHeight="1" x14ac:dyDescent="0.2">
      <c r="A129" s="6" t="s">
        <v>133</v>
      </c>
      <c r="B129" s="2">
        <v>9000</v>
      </c>
      <c r="C129" s="2" t="s">
        <v>11</v>
      </c>
      <c r="D129" s="2" t="s">
        <v>11</v>
      </c>
      <c r="E129" s="2" t="s">
        <v>11</v>
      </c>
      <c r="F129" s="2" t="s">
        <v>11</v>
      </c>
      <c r="G129" s="2" t="s">
        <v>11</v>
      </c>
      <c r="H129" s="2" t="s">
        <v>11</v>
      </c>
      <c r="I129" s="33">
        <f>I119+I122+I125+1.67</f>
        <v>14549937.879999999</v>
      </c>
      <c r="J129" s="33">
        <f>J119+J122+J125+1.36</f>
        <v>13062851.669999998</v>
      </c>
      <c r="K129" s="33">
        <f>K119+K122+K125+1.36</f>
        <v>8503561.6699999981</v>
      </c>
    </row>
    <row r="131" spans="1:11" x14ac:dyDescent="0.2">
      <c r="A131" s="3" t="s">
        <v>151</v>
      </c>
    </row>
    <row r="132" spans="1:11" x14ac:dyDescent="0.2">
      <c r="A132" s="388" t="s">
        <v>0</v>
      </c>
      <c r="B132" s="388" t="s">
        <v>1</v>
      </c>
      <c r="C132" s="388" t="s">
        <v>148</v>
      </c>
      <c r="D132" s="388"/>
      <c r="E132" s="388"/>
      <c r="F132" s="388" t="s">
        <v>149</v>
      </c>
      <c r="G132" s="388"/>
      <c r="H132" s="388"/>
      <c r="I132" s="388" t="s">
        <v>150</v>
      </c>
      <c r="J132" s="388"/>
      <c r="K132" s="388"/>
    </row>
    <row r="133" spans="1:11" x14ac:dyDescent="0.2">
      <c r="A133" s="388"/>
      <c r="B133" s="388"/>
      <c r="C133" s="220" t="s">
        <v>418</v>
      </c>
      <c r="D133" s="220" t="s">
        <v>548</v>
      </c>
      <c r="E133" s="220" t="s">
        <v>583</v>
      </c>
      <c r="F133" s="220" t="s">
        <v>418</v>
      </c>
      <c r="G133" s="220" t="s">
        <v>548</v>
      </c>
      <c r="H133" s="220" t="s">
        <v>583</v>
      </c>
      <c r="I133" s="220" t="s">
        <v>418</v>
      </c>
      <c r="J133" s="220" t="s">
        <v>548</v>
      </c>
      <c r="K133" s="220" t="s">
        <v>583</v>
      </c>
    </row>
    <row r="134" spans="1:11" ht="38.25" x14ac:dyDescent="0.2">
      <c r="A134" s="388"/>
      <c r="B134" s="388"/>
      <c r="C134" s="2" t="s">
        <v>73</v>
      </c>
      <c r="D134" s="2" t="s">
        <v>74</v>
      </c>
      <c r="E134" s="2" t="s">
        <v>75</v>
      </c>
      <c r="F134" s="2" t="s">
        <v>73</v>
      </c>
      <c r="G134" s="2" t="s">
        <v>74</v>
      </c>
      <c r="H134" s="2" t="s">
        <v>75</v>
      </c>
      <c r="I134" s="2" t="s">
        <v>73</v>
      </c>
      <c r="J134" s="2" t="s">
        <v>74</v>
      </c>
      <c r="K134" s="2" t="s">
        <v>75</v>
      </c>
    </row>
    <row r="135" spans="1:11" x14ac:dyDescent="0.2">
      <c r="A135" s="2">
        <v>1</v>
      </c>
      <c r="B135" s="2">
        <v>2</v>
      </c>
      <c r="C135" s="2">
        <v>3</v>
      </c>
      <c r="D135" s="2">
        <v>4</v>
      </c>
      <c r="E135" s="2">
        <v>5</v>
      </c>
      <c r="F135" s="2">
        <v>6</v>
      </c>
      <c r="G135" s="2">
        <v>7</v>
      </c>
      <c r="H135" s="2">
        <v>8</v>
      </c>
      <c r="I135" s="2">
        <v>9</v>
      </c>
      <c r="J135" s="2">
        <v>10</v>
      </c>
      <c r="K135" s="2">
        <v>11</v>
      </c>
    </row>
    <row r="136" spans="1:11" x14ac:dyDescent="0.2">
      <c r="A136" s="116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2">
      <c r="A137" s="117" t="s">
        <v>452</v>
      </c>
      <c r="B137" s="116">
        <v>1</v>
      </c>
      <c r="C137" s="112">
        <v>8309.67</v>
      </c>
      <c r="D137" s="112">
        <v>8309.67</v>
      </c>
      <c r="E137" s="112">
        <v>8309.67</v>
      </c>
      <c r="F137" s="117">
        <v>234</v>
      </c>
      <c r="G137" s="117">
        <v>234</v>
      </c>
      <c r="H137" s="117">
        <v>234</v>
      </c>
      <c r="I137" s="112">
        <v>1944463.14</v>
      </c>
      <c r="J137" s="112">
        <v>1944463.14</v>
      </c>
      <c r="K137" s="112">
        <v>1944463.14</v>
      </c>
    </row>
    <row r="138" spans="1:11" ht="25.5" x14ac:dyDescent="0.2">
      <c r="A138" s="117" t="s">
        <v>453</v>
      </c>
      <c r="B138" s="116">
        <v>2</v>
      </c>
      <c r="C138" s="112"/>
      <c r="D138" s="117"/>
      <c r="E138" s="117"/>
      <c r="F138" s="117"/>
      <c r="G138" s="117"/>
      <c r="H138" s="117"/>
      <c r="I138" s="112">
        <f>I139</f>
        <v>165465.32999999999</v>
      </c>
      <c r="J138" s="112">
        <f>J139</f>
        <v>165465.32999999999</v>
      </c>
      <c r="K138" s="112">
        <f>K139</f>
        <v>165465.32999999999</v>
      </c>
    </row>
    <row r="139" spans="1:11" ht="25.5" x14ac:dyDescent="0.2">
      <c r="A139" s="117" t="s">
        <v>454</v>
      </c>
      <c r="B139" s="117"/>
      <c r="C139" s="117">
        <v>707.12</v>
      </c>
      <c r="D139" s="117">
        <v>707.12</v>
      </c>
      <c r="E139" s="117">
        <v>707.12</v>
      </c>
      <c r="F139" s="117">
        <v>234</v>
      </c>
      <c r="G139" s="117">
        <v>234</v>
      </c>
      <c r="H139" s="117">
        <v>234</v>
      </c>
      <c r="I139" s="112">
        <v>165465.32999999999</v>
      </c>
      <c r="J139" s="112">
        <v>165465.32999999999</v>
      </c>
      <c r="K139" s="112">
        <v>165465.32999999999</v>
      </c>
    </row>
    <row r="140" spans="1:11" x14ac:dyDescent="0.2">
      <c r="A140" s="117" t="s">
        <v>455</v>
      </c>
      <c r="B140" s="117"/>
      <c r="C140" s="117"/>
      <c r="D140" s="117"/>
      <c r="E140" s="117"/>
      <c r="F140" s="117"/>
      <c r="G140" s="117"/>
      <c r="H140" s="117"/>
      <c r="I140" s="112">
        <f>I141</f>
        <v>89372.63</v>
      </c>
      <c r="J140" s="112">
        <f>J141</f>
        <v>89372.63</v>
      </c>
      <c r="K140" s="112">
        <f>K141</f>
        <v>89372.63</v>
      </c>
    </row>
    <row r="141" spans="1:11" x14ac:dyDescent="0.2">
      <c r="A141" s="117" t="s">
        <v>456</v>
      </c>
      <c r="B141" s="117"/>
      <c r="C141" s="117">
        <v>381.93</v>
      </c>
      <c r="D141" s="117">
        <v>381.93</v>
      </c>
      <c r="E141" s="117">
        <v>381.93</v>
      </c>
      <c r="F141" s="117">
        <v>234</v>
      </c>
      <c r="G141" s="117">
        <v>234</v>
      </c>
      <c r="H141" s="117">
        <v>234</v>
      </c>
      <c r="I141" s="112">
        <v>89372.63</v>
      </c>
      <c r="J141" s="112">
        <v>89372.63</v>
      </c>
      <c r="K141" s="112">
        <v>89372.63</v>
      </c>
    </row>
    <row r="142" spans="1:11" x14ac:dyDescent="0.2">
      <c r="A142" s="117" t="s">
        <v>457</v>
      </c>
      <c r="B142" s="117"/>
      <c r="C142" s="117">
        <v>145.99</v>
      </c>
      <c r="D142" s="117">
        <v>145.99</v>
      </c>
      <c r="E142" s="117">
        <v>145.99</v>
      </c>
      <c r="F142" s="117">
        <v>234</v>
      </c>
      <c r="G142" s="117">
        <v>234</v>
      </c>
      <c r="H142" s="117">
        <v>234</v>
      </c>
      <c r="I142" s="112">
        <v>34160.58</v>
      </c>
      <c r="J142" s="112">
        <v>34160.58</v>
      </c>
      <c r="K142" s="112">
        <v>34160.58</v>
      </c>
    </row>
    <row r="143" spans="1:11" ht="51" x14ac:dyDescent="0.2">
      <c r="A143" s="6" t="s">
        <v>458</v>
      </c>
      <c r="B143" s="6"/>
      <c r="C143" s="6"/>
      <c r="D143" s="6"/>
      <c r="E143" s="6"/>
      <c r="F143" s="6"/>
      <c r="G143" s="6"/>
      <c r="H143" s="6"/>
      <c r="I143" s="5">
        <f>I144</f>
        <v>947907.77</v>
      </c>
      <c r="J143" s="5">
        <f>J144</f>
        <v>947907.77</v>
      </c>
      <c r="K143" s="5">
        <f>K144</f>
        <v>947907.77</v>
      </c>
    </row>
    <row r="144" spans="1:11" ht="25.5" x14ac:dyDescent="0.2">
      <c r="A144" s="6" t="s">
        <v>459</v>
      </c>
      <c r="B144" s="6"/>
      <c r="C144" s="6"/>
      <c r="D144" s="6"/>
      <c r="E144" s="6"/>
      <c r="F144" s="6"/>
      <c r="G144" s="6"/>
      <c r="H144" s="6"/>
      <c r="I144" s="5">
        <f>I145+I146</f>
        <v>947907.77</v>
      </c>
      <c r="J144" s="5">
        <f>J145+J146</f>
        <v>947907.77</v>
      </c>
      <c r="K144" s="5">
        <f>K145+K146</f>
        <v>947907.77</v>
      </c>
    </row>
    <row r="145" spans="1:13" x14ac:dyDescent="0.2">
      <c r="A145" s="6" t="s">
        <v>435</v>
      </c>
      <c r="B145" s="6"/>
      <c r="C145" s="6">
        <v>3111.18</v>
      </c>
      <c r="D145" s="6">
        <v>3111.18</v>
      </c>
      <c r="E145" s="6">
        <v>3111.18</v>
      </c>
      <c r="F145" s="6">
        <v>234</v>
      </c>
      <c r="G145" s="6">
        <v>234</v>
      </c>
      <c r="H145" s="6">
        <v>234</v>
      </c>
      <c r="I145" s="5">
        <v>728039.76</v>
      </c>
      <c r="J145" s="5">
        <v>728039.76</v>
      </c>
      <c r="K145" s="5">
        <v>728039.76</v>
      </c>
    </row>
    <row r="146" spans="1:13" x14ac:dyDescent="0.2">
      <c r="A146" s="6" t="s">
        <v>460</v>
      </c>
      <c r="B146" s="6"/>
      <c r="C146" s="6">
        <v>939.71</v>
      </c>
      <c r="D146" s="6">
        <v>939.71</v>
      </c>
      <c r="E146" s="6">
        <v>939.71</v>
      </c>
      <c r="F146" s="6">
        <v>234</v>
      </c>
      <c r="G146" s="6">
        <v>234</v>
      </c>
      <c r="H146" s="6">
        <v>234</v>
      </c>
      <c r="I146" s="5">
        <v>219868.01</v>
      </c>
      <c r="J146" s="5">
        <v>219868.01</v>
      </c>
      <c r="K146" s="5">
        <v>219868.01</v>
      </c>
    </row>
    <row r="147" spans="1:13" ht="25.5" x14ac:dyDescent="0.2">
      <c r="A147" s="6" t="s">
        <v>461</v>
      </c>
      <c r="B147" s="6"/>
      <c r="C147" s="6"/>
      <c r="D147" s="6"/>
      <c r="E147" s="6"/>
      <c r="F147" s="6"/>
      <c r="G147" s="6"/>
      <c r="H147" s="6"/>
      <c r="I147" s="5">
        <f>I148+I149+I150</f>
        <v>82681.420000000013</v>
      </c>
      <c r="J147" s="5">
        <f>J148+J149+J150</f>
        <v>82681.420000000013</v>
      </c>
      <c r="K147" s="5">
        <f>K148+K149+K150</f>
        <v>82681.420000000013</v>
      </c>
    </row>
    <row r="148" spans="1:13" x14ac:dyDescent="0.2">
      <c r="A148" s="6" t="s">
        <v>462</v>
      </c>
      <c r="B148" s="6"/>
      <c r="C148" s="6">
        <v>4.2</v>
      </c>
      <c r="D148" s="6">
        <v>4.2</v>
      </c>
      <c r="E148" s="6">
        <v>4.2</v>
      </c>
      <c r="F148" s="6">
        <v>234</v>
      </c>
      <c r="G148" s="6">
        <v>234</v>
      </c>
      <c r="H148" s="6">
        <v>234</v>
      </c>
      <c r="I148" s="5">
        <v>982.12</v>
      </c>
      <c r="J148" s="5">
        <v>982.12</v>
      </c>
      <c r="K148" s="5">
        <v>982.12</v>
      </c>
    </row>
    <row r="149" spans="1:13" x14ac:dyDescent="0.2">
      <c r="A149" s="6" t="s">
        <v>463</v>
      </c>
      <c r="B149" s="6"/>
      <c r="C149" s="6">
        <v>19.53</v>
      </c>
      <c r="D149" s="6">
        <v>19.53</v>
      </c>
      <c r="E149" s="6">
        <v>19.53</v>
      </c>
      <c r="F149" s="6">
        <v>234</v>
      </c>
      <c r="G149" s="6">
        <v>234</v>
      </c>
      <c r="H149" s="6">
        <v>234</v>
      </c>
      <c r="I149" s="5">
        <v>4568.9799999999996</v>
      </c>
      <c r="J149" s="5">
        <v>4568.9799999999996</v>
      </c>
      <c r="K149" s="5">
        <v>4568.9799999999996</v>
      </c>
    </row>
    <row r="150" spans="1:13" ht="25.5" x14ac:dyDescent="0.2">
      <c r="A150" s="6" t="s">
        <v>464</v>
      </c>
      <c r="B150" s="6"/>
      <c r="C150" s="6">
        <v>329.62</v>
      </c>
      <c r="D150" s="6">
        <v>329.62</v>
      </c>
      <c r="E150" s="6">
        <v>329.62</v>
      </c>
      <c r="F150" s="6">
        <v>234</v>
      </c>
      <c r="G150" s="6">
        <v>234</v>
      </c>
      <c r="H150" s="6">
        <v>234</v>
      </c>
      <c r="I150" s="5">
        <v>77130.320000000007</v>
      </c>
      <c r="J150" s="5">
        <v>77130.320000000007</v>
      </c>
      <c r="K150" s="5">
        <v>77130.320000000007</v>
      </c>
      <c r="M150" s="37"/>
    </row>
    <row r="151" spans="1:13" ht="23.25" customHeight="1" x14ac:dyDescent="0.2">
      <c r="A151" s="6" t="s">
        <v>133</v>
      </c>
      <c r="B151" s="2">
        <v>9000</v>
      </c>
      <c r="C151" s="2" t="s">
        <v>11</v>
      </c>
      <c r="D151" s="2" t="s">
        <v>11</v>
      </c>
      <c r="E151" s="2" t="s">
        <v>11</v>
      </c>
      <c r="F151" s="2" t="s">
        <v>11</v>
      </c>
      <c r="G151" s="2" t="s">
        <v>11</v>
      </c>
      <c r="H151" s="2" t="s">
        <v>11</v>
      </c>
      <c r="I151" s="33">
        <f>2364055.03+0.32+2573.87+403190</f>
        <v>2769819.2199999997</v>
      </c>
      <c r="J151" s="33">
        <f>3264051.46+0.02</f>
        <v>3264051.48</v>
      </c>
      <c r="K151" s="33">
        <f>3264051.46+0.02</f>
        <v>3264051.48</v>
      </c>
    </row>
    <row r="153" spans="1:13" x14ac:dyDescent="0.2">
      <c r="A153" s="109" t="s">
        <v>151</v>
      </c>
      <c r="B153" s="109"/>
      <c r="C153" s="109"/>
      <c r="D153" s="109"/>
      <c r="E153" s="109"/>
      <c r="F153" s="109"/>
      <c r="G153" s="109"/>
      <c r="H153" s="109"/>
      <c r="I153" s="109"/>
      <c r="J153" s="109"/>
      <c r="K153" s="109"/>
    </row>
    <row r="154" spans="1:13" x14ac:dyDescent="0.2">
      <c r="A154" s="393" t="s">
        <v>0</v>
      </c>
      <c r="B154" s="393" t="s">
        <v>1</v>
      </c>
      <c r="C154" s="393" t="s">
        <v>148</v>
      </c>
      <c r="D154" s="393"/>
      <c r="E154" s="393"/>
      <c r="F154" s="393" t="s">
        <v>149</v>
      </c>
      <c r="G154" s="393"/>
      <c r="H154" s="393"/>
      <c r="I154" s="393" t="s">
        <v>150</v>
      </c>
      <c r="J154" s="393"/>
      <c r="K154" s="393"/>
    </row>
    <row r="155" spans="1:13" x14ac:dyDescent="0.2">
      <c r="A155" s="393"/>
      <c r="B155" s="393"/>
      <c r="C155" s="220" t="s">
        <v>418</v>
      </c>
      <c r="D155" s="220" t="s">
        <v>548</v>
      </c>
      <c r="E155" s="220" t="s">
        <v>583</v>
      </c>
      <c r="F155" s="220" t="s">
        <v>418</v>
      </c>
      <c r="G155" s="220" t="s">
        <v>548</v>
      </c>
      <c r="H155" s="220" t="s">
        <v>583</v>
      </c>
      <c r="I155" s="220" t="s">
        <v>418</v>
      </c>
      <c r="J155" s="220" t="s">
        <v>548</v>
      </c>
      <c r="K155" s="220" t="s">
        <v>583</v>
      </c>
    </row>
    <row r="156" spans="1:13" ht="38.25" x14ac:dyDescent="0.2">
      <c r="A156" s="393"/>
      <c r="B156" s="393"/>
      <c r="C156" s="116" t="s">
        <v>73</v>
      </c>
      <c r="D156" s="116" t="s">
        <v>74</v>
      </c>
      <c r="E156" s="116" t="s">
        <v>75</v>
      </c>
      <c r="F156" s="116" t="s">
        <v>73</v>
      </c>
      <c r="G156" s="116" t="s">
        <v>74</v>
      </c>
      <c r="H156" s="116" t="s">
        <v>75</v>
      </c>
      <c r="I156" s="116" t="s">
        <v>73</v>
      </c>
      <c r="J156" s="116" t="s">
        <v>74</v>
      </c>
      <c r="K156" s="116" t="s">
        <v>75</v>
      </c>
    </row>
    <row r="157" spans="1:13" x14ac:dyDescent="0.2">
      <c r="A157" s="116">
        <v>1</v>
      </c>
      <c r="B157" s="116">
        <v>2</v>
      </c>
      <c r="C157" s="116">
        <v>3</v>
      </c>
      <c r="D157" s="116">
        <v>4</v>
      </c>
      <c r="E157" s="116">
        <v>5</v>
      </c>
      <c r="F157" s="116">
        <v>6</v>
      </c>
      <c r="G157" s="116">
        <v>7</v>
      </c>
      <c r="H157" s="116">
        <v>8</v>
      </c>
      <c r="I157" s="116">
        <v>9</v>
      </c>
      <c r="J157" s="116">
        <v>10</v>
      </c>
      <c r="K157" s="116">
        <v>11</v>
      </c>
    </row>
    <row r="158" spans="1:13" x14ac:dyDescent="0.2">
      <c r="A158" s="116"/>
      <c r="B158" s="116"/>
      <c r="C158" s="116"/>
      <c r="D158" s="116"/>
      <c r="E158" s="116"/>
      <c r="F158" s="116"/>
      <c r="G158" s="116"/>
      <c r="H158" s="116"/>
      <c r="I158" s="116"/>
      <c r="J158" s="116"/>
      <c r="K158" s="116"/>
    </row>
    <row r="159" spans="1:13" ht="25.5" x14ac:dyDescent="0.2">
      <c r="A159" s="117" t="s">
        <v>437</v>
      </c>
      <c r="B159" s="116">
        <v>1</v>
      </c>
      <c r="C159" s="112">
        <f>C160+C161</f>
        <v>48115.8</v>
      </c>
      <c r="D159" s="112">
        <f>D160+D161</f>
        <v>48115.8</v>
      </c>
      <c r="E159" s="112">
        <f>E160+E161</f>
        <v>48115.8</v>
      </c>
      <c r="F159" s="117">
        <v>5</v>
      </c>
      <c r="G159" s="117">
        <v>5</v>
      </c>
      <c r="H159" s="117">
        <v>5</v>
      </c>
      <c r="I159" s="112">
        <f>I160+I161</f>
        <v>240578.99</v>
      </c>
      <c r="J159" s="112">
        <f>J160+J161</f>
        <v>203878.99</v>
      </c>
      <c r="K159" s="112">
        <f>K160+K161</f>
        <v>203878.99</v>
      </c>
    </row>
    <row r="160" spans="1:13" x14ac:dyDescent="0.2">
      <c r="A160" s="117" t="s">
        <v>435</v>
      </c>
      <c r="B160" s="116">
        <v>2</v>
      </c>
      <c r="C160" s="112">
        <v>36955.300000000003</v>
      </c>
      <c r="D160" s="112">
        <v>36955.300000000003</v>
      </c>
      <c r="E160" s="112">
        <v>36955.300000000003</v>
      </c>
      <c r="F160" s="117">
        <v>5</v>
      </c>
      <c r="G160" s="117">
        <v>5</v>
      </c>
      <c r="H160" s="117">
        <v>5</v>
      </c>
      <c r="I160" s="112">
        <v>184776.49</v>
      </c>
      <c r="J160" s="112">
        <f>184776.49-28100</f>
        <v>156676.49</v>
      </c>
      <c r="K160" s="112">
        <f>184776.49-28100</f>
        <v>156676.49</v>
      </c>
    </row>
    <row r="161" spans="1:11" ht="25.5" x14ac:dyDescent="0.2">
      <c r="A161" s="117" t="s">
        <v>436</v>
      </c>
      <c r="B161" s="117"/>
      <c r="C161" s="117">
        <v>11160.5</v>
      </c>
      <c r="D161" s="117">
        <v>11160.5</v>
      </c>
      <c r="E161" s="117">
        <v>11160.5</v>
      </c>
      <c r="F161" s="117">
        <v>5</v>
      </c>
      <c r="G161" s="117">
        <v>5</v>
      </c>
      <c r="H161" s="117">
        <v>5</v>
      </c>
      <c r="I161" s="112">
        <v>55802.5</v>
      </c>
      <c r="J161" s="112">
        <f>55802.5-8600</f>
        <v>47202.5</v>
      </c>
      <c r="K161" s="112">
        <f>55802.5-8600</f>
        <v>47202.5</v>
      </c>
    </row>
    <row r="162" spans="1:11" x14ac:dyDescent="0.2">
      <c r="A162" s="117" t="s">
        <v>447</v>
      </c>
      <c r="B162" s="117"/>
      <c r="C162" s="117"/>
      <c r="D162" s="117"/>
      <c r="E162" s="117"/>
      <c r="F162" s="117"/>
      <c r="G162" s="117"/>
      <c r="H162" s="117"/>
      <c r="I162" s="112">
        <f>I163</f>
        <v>1322.08</v>
      </c>
      <c r="J162" s="112">
        <f>J163</f>
        <v>1322.08</v>
      </c>
      <c r="K162" s="112">
        <f>K163</f>
        <v>1322.08</v>
      </c>
    </row>
    <row r="163" spans="1:11" x14ac:dyDescent="0.2">
      <c r="A163" s="117" t="s">
        <v>439</v>
      </c>
      <c r="B163" s="117"/>
      <c r="C163" s="117">
        <v>264.42</v>
      </c>
      <c r="D163" s="117">
        <v>264.42</v>
      </c>
      <c r="E163" s="117">
        <v>264.42</v>
      </c>
      <c r="F163" s="117">
        <v>5</v>
      </c>
      <c r="G163" s="117">
        <v>5</v>
      </c>
      <c r="H163" s="117">
        <v>5</v>
      </c>
      <c r="I163" s="112">
        <v>1322.08</v>
      </c>
      <c r="J163" s="112">
        <v>1322.08</v>
      </c>
      <c r="K163" s="112">
        <v>1322.08</v>
      </c>
    </row>
    <row r="164" spans="1:11" ht="25.5" x14ac:dyDescent="0.2">
      <c r="A164" s="117" t="s">
        <v>440</v>
      </c>
      <c r="B164" s="117"/>
      <c r="C164" s="117">
        <v>0</v>
      </c>
      <c r="D164" s="117"/>
      <c r="E164" s="117"/>
      <c r="F164" s="117">
        <v>0</v>
      </c>
      <c r="G164" s="117"/>
      <c r="H164" s="117"/>
      <c r="I164" s="112">
        <v>0</v>
      </c>
      <c r="J164" s="112"/>
      <c r="K164" s="112"/>
    </row>
    <row r="165" spans="1:11" x14ac:dyDescent="0.2">
      <c r="A165" s="117" t="s">
        <v>441</v>
      </c>
      <c r="B165" s="117"/>
      <c r="C165" s="117"/>
      <c r="D165" s="117"/>
      <c r="E165" s="117"/>
      <c r="F165" s="117"/>
      <c r="G165" s="117"/>
      <c r="H165" s="117"/>
      <c r="I165" s="112">
        <f>I166+I167+I168</f>
        <v>1487.23</v>
      </c>
      <c r="J165" s="112">
        <f>J166+J167+J168</f>
        <v>1487.23</v>
      </c>
      <c r="K165" s="112">
        <f>K166+K167+K168</f>
        <v>1487.23</v>
      </c>
    </row>
    <row r="166" spans="1:11" x14ac:dyDescent="0.2">
      <c r="A166" s="117" t="s">
        <v>237</v>
      </c>
      <c r="B166" s="117"/>
      <c r="C166" s="117">
        <v>36.5</v>
      </c>
      <c r="D166" s="117">
        <v>36.5</v>
      </c>
      <c r="E166" s="117">
        <v>36.5</v>
      </c>
      <c r="F166" s="117">
        <v>5</v>
      </c>
      <c r="G166" s="117">
        <v>5</v>
      </c>
      <c r="H166" s="117">
        <v>5</v>
      </c>
      <c r="I166" s="112">
        <v>182.48</v>
      </c>
      <c r="J166" s="112">
        <v>182.48</v>
      </c>
      <c r="K166" s="112">
        <v>182.48</v>
      </c>
    </row>
    <row r="167" spans="1:11" ht="25.5" x14ac:dyDescent="0.2">
      <c r="A167" s="117" t="s">
        <v>465</v>
      </c>
      <c r="B167" s="117"/>
      <c r="C167" s="117">
        <v>63.87</v>
      </c>
      <c r="D167" s="117">
        <v>63.87</v>
      </c>
      <c r="E167" s="117">
        <v>63.87</v>
      </c>
      <c r="F167" s="117">
        <v>5</v>
      </c>
      <c r="G167" s="117">
        <v>5</v>
      </c>
      <c r="H167" s="117">
        <v>5</v>
      </c>
      <c r="I167" s="112">
        <v>319.33999999999997</v>
      </c>
      <c r="J167" s="112">
        <v>319.33999999999997</v>
      </c>
      <c r="K167" s="112">
        <v>319.33999999999997</v>
      </c>
    </row>
    <row r="168" spans="1:11" x14ac:dyDescent="0.2">
      <c r="A168" s="117" t="s">
        <v>442</v>
      </c>
      <c r="B168" s="117"/>
      <c r="C168" s="117">
        <v>197.08</v>
      </c>
      <c r="D168" s="117">
        <v>197.08</v>
      </c>
      <c r="E168" s="117">
        <v>197.08</v>
      </c>
      <c r="F168" s="117">
        <v>5</v>
      </c>
      <c r="G168" s="117">
        <v>5</v>
      </c>
      <c r="H168" s="117">
        <v>5</v>
      </c>
      <c r="I168" s="112">
        <v>985.41</v>
      </c>
      <c r="J168" s="112">
        <v>985.41</v>
      </c>
      <c r="K168" s="112">
        <v>985.41</v>
      </c>
    </row>
    <row r="169" spans="1:11" ht="22.5" customHeight="1" x14ac:dyDescent="0.2">
      <c r="A169" s="117" t="s">
        <v>133</v>
      </c>
      <c r="B169" s="116">
        <v>9000</v>
      </c>
      <c r="C169" s="116" t="s">
        <v>11</v>
      </c>
      <c r="D169" s="116" t="s">
        <v>11</v>
      </c>
      <c r="E169" s="116" t="s">
        <v>11</v>
      </c>
      <c r="F169" s="116" t="s">
        <v>11</v>
      </c>
      <c r="G169" s="116" t="s">
        <v>11</v>
      </c>
      <c r="H169" s="116" t="s">
        <v>11</v>
      </c>
      <c r="I169" s="111">
        <f>I159+I162+I165</f>
        <v>243388.3</v>
      </c>
      <c r="J169" s="111">
        <f>J159+J162+J165</f>
        <v>206688.3</v>
      </c>
      <c r="K169" s="111">
        <f>K159+K162+K165</f>
        <v>206688.3</v>
      </c>
    </row>
    <row r="171" spans="1:11" x14ac:dyDescent="0.2">
      <c r="A171" s="3" t="s">
        <v>151</v>
      </c>
    </row>
    <row r="172" spans="1:11" x14ac:dyDescent="0.2">
      <c r="A172" s="388" t="s">
        <v>0</v>
      </c>
      <c r="B172" s="388" t="s">
        <v>1</v>
      </c>
      <c r="C172" s="388" t="s">
        <v>148</v>
      </c>
      <c r="D172" s="388"/>
      <c r="E172" s="388"/>
      <c r="F172" s="388" t="s">
        <v>149</v>
      </c>
      <c r="G172" s="388"/>
      <c r="H172" s="388"/>
      <c r="I172" s="388" t="s">
        <v>150</v>
      </c>
      <c r="J172" s="388"/>
      <c r="K172" s="388"/>
    </row>
    <row r="173" spans="1:11" x14ac:dyDescent="0.2">
      <c r="A173" s="388"/>
      <c r="B173" s="388"/>
      <c r="C173" s="220" t="s">
        <v>418</v>
      </c>
      <c r="D173" s="220" t="s">
        <v>548</v>
      </c>
      <c r="E173" s="220" t="s">
        <v>583</v>
      </c>
      <c r="F173" s="220" t="s">
        <v>418</v>
      </c>
      <c r="G173" s="220" t="s">
        <v>548</v>
      </c>
      <c r="H173" s="220" t="s">
        <v>583</v>
      </c>
      <c r="I173" s="220" t="s">
        <v>418</v>
      </c>
      <c r="J173" s="220" t="s">
        <v>548</v>
      </c>
      <c r="K173" s="220" t="s">
        <v>583</v>
      </c>
    </row>
    <row r="174" spans="1:11" ht="38.25" x14ac:dyDescent="0.2">
      <c r="A174" s="388"/>
      <c r="B174" s="388"/>
      <c r="C174" s="2" t="s">
        <v>73</v>
      </c>
      <c r="D174" s="2" t="s">
        <v>74</v>
      </c>
      <c r="E174" s="2" t="s">
        <v>75</v>
      </c>
      <c r="F174" s="2" t="s">
        <v>73</v>
      </c>
      <c r="G174" s="2" t="s">
        <v>74</v>
      </c>
      <c r="H174" s="2" t="s">
        <v>75</v>
      </c>
      <c r="I174" s="2" t="s">
        <v>73</v>
      </c>
      <c r="J174" s="2" t="s">
        <v>74</v>
      </c>
      <c r="K174" s="2" t="s">
        <v>75</v>
      </c>
    </row>
    <row r="175" spans="1:11" x14ac:dyDescent="0.2">
      <c r="A175" s="2">
        <v>1</v>
      </c>
      <c r="B175" s="2">
        <v>2</v>
      </c>
      <c r="C175" s="2">
        <v>3</v>
      </c>
      <c r="D175" s="2">
        <v>4</v>
      </c>
      <c r="E175" s="2">
        <v>5</v>
      </c>
      <c r="F175" s="2">
        <v>6</v>
      </c>
      <c r="G175" s="2">
        <v>7</v>
      </c>
      <c r="H175" s="2">
        <v>8</v>
      </c>
      <c r="I175" s="2">
        <v>9</v>
      </c>
      <c r="J175" s="2">
        <v>10</v>
      </c>
      <c r="K175" s="2">
        <v>11</v>
      </c>
    </row>
    <row r="176" spans="1:11" x14ac:dyDescent="0.2">
      <c r="A176" s="31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3" x14ac:dyDescent="0.2">
      <c r="A177" s="117" t="s">
        <v>452</v>
      </c>
      <c r="B177" s="116">
        <v>1</v>
      </c>
      <c r="C177" s="112">
        <v>8309.67</v>
      </c>
      <c r="D177" s="112">
        <v>8309.67</v>
      </c>
      <c r="E177" s="112">
        <v>8309.67</v>
      </c>
      <c r="F177" s="117">
        <v>5</v>
      </c>
      <c r="G177" s="117">
        <v>5</v>
      </c>
      <c r="H177" s="117">
        <v>5</v>
      </c>
      <c r="I177" s="112">
        <v>41548.36</v>
      </c>
      <c r="J177" s="112">
        <v>41548.36</v>
      </c>
      <c r="K177" s="112">
        <v>41548.36</v>
      </c>
    </row>
    <row r="178" spans="1:13" ht="25.5" x14ac:dyDescent="0.2">
      <c r="A178" s="6" t="s">
        <v>453</v>
      </c>
      <c r="B178" s="2">
        <v>2</v>
      </c>
      <c r="C178" s="5"/>
      <c r="D178" s="6"/>
      <c r="E178" s="6"/>
      <c r="F178" s="6"/>
      <c r="G178" s="6"/>
      <c r="H178" s="6"/>
      <c r="I178" s="5">
        <f>I179</f>
        <v>3535.58</v>
      </c>
      <c r="J178" s="5">
        <f>J179</f>
        <v>3535.58</v>
      </c>
      <c r="K178" s="5">
        <f>K179</f>
        <v>3535.58</v>
      </c>
    </row>
    <row r="179" spans="1:13" ht="25.5" x14ac:dyDescent="0.2">
      <c r="A179" s="6" t="s">
        <v>454</v>
      </c>
      <c r="B179" s="6"/>
      <c r="C179" s="6">
        <v>707.12</v>
      </c>
      <c r="D179" s="6">
        <v>707.12</v>
      </c>
      <c r="E179" s="6">
        <v>707.12</v>
      </c>
      <c r="F179" s="6">
        <v>5</v>
      </c>
      <c r="G179" s="6">
        <v>5</v>
      </c>
      <c r="H179" s="6">
        <v>5</v>
      </c>
      <c r="I179" s="5">
        <v>3535.58</v>
      </c>
      <c r="J179" s="5">
        <v>3535.58</v>
      </c>
      <c r="K179" s="5">
        <v>3535.58</v>
      </c>
    </row>
    <row r="180" spans="1:13" x14ac:dyDescent="0.2">
      <c r="A180" s="6" t="s">
        <v>455</v>
      </c>
      <c r="B180" s="6"/>
      <c r="C180" s="6"/>
      <c r="D180" s="6"/>
      <c r="E180" s="6"/>
      <c r="F180" s="6"/>
      <c r="G180" s="6"/>
      <c r="H180" s="6"/>
      <c r="I180" s="5">
        <f>I181</f>
        <v>1909.67</v>
      </c>
      <c r="J180" s="5">
        <f>J181</f>
        <v>1909.67</v>
      </c>
      <c r="K180" s="5">
        <f>K181</f>
        <v>1909.67</v>
      </c>
    </row>
    <row r="181" spans="1:13" x14ac:dyDescent="0.2">
      <c r="A181" s="6" t="s">
        <v>456</v>
      </c>
      <c r="B181" s="6"/>
      <c r="C181" s="6">
        <v>381.93</v>
      </c>
      <c r="D181" s="6">
        <v>381.93</v>
      </c>
      <c r="E181" s="6">
        <v>381.93</v>
      </c>
      <c r="F181" s="6">
        <v>5</v>
      </c>
      <c r="G181" s="6">
        <v>5</v>
      </c>
      <c r="H181" s="6">
        <v>5</v>
      </c>
      <c r="I181" s="5">
        <v>1909.67</v>
      </c>
      <c r="J181" s="5">
        <v>1909.67</v>
      </c>
      <c r="K181" s="5">
        <v>1909.67</v>
      </c>
    </row>
    <row r="182" spans="1:13" x14ac:dyDescent="0.2">
      <c r="A182" s="117" t="s">
        <v>457</v>
      </c>
      <c r="B182" s="117"/>
      <c r="C182" s="117">
        <v>145.99</v>
      </c>
      <c r="D182" s="117">
        <v>145.99</v>
      </c>
      <c r="E182" s="117">
        <v>145.99</v>
      </c>
      <c r="F182" s="117">
        <v>5</v>
      </c>
      <c r="G182" s="117">
        <v>5</v>
      </c>
      <c r="H182" s="117">
        <v>5</v>
      </c>
      <c r="I182" s="112">
        <v>729.93</v>
      </c>
      <c r="J182" s="112">
        <v>729.93</v>
      </c>
      <c r="K182" s="112">
        <v>729.93</v>
      </c>
    </row>
    <row r="183" spans="1:13" ht="51" x14ac:dyDescent="0.2">
      <c r="A183" s="6" t="s">
        <v>458</v>
      </c>
      <c r="B183" s="6"/>
      <c r="C183" s="6"/>
      <c r="D183" s="6"/>
      <c r="E183" s="6"/>
      <c r="F183" s="6"/>
      <c r="G183" s="6"/>
      <c r="H183" s="6"/>
      <c r="I183" s="5">
        <f>I184</f>
        <v>20254.439999999999</v>
      </c>
      <c r="J183" s="5">
        <f>J184</f>
        <v>20254.439999999999</v>
      </c>
      <c r="K183" s="5">
        <f>K184</f>
        <v>20254.439999999999</v>
      </c>
    </row>
    <row r="184" spans="1:13" ht="25.5" x14ac:dyDescent="0.2">
      <c r="A184" s="6" t="s">
        <v>459</v>
      </c>
      <c r="B184" s="6"/>
      <c r="C184" s="6"/>
      <c r="D184" s="6"/>
      <c r="E184" s="6"/>
      <c r="F184" s="6"/>
      <c r="G184" s="6"/>
      <c r="H184" s="6"/>
      <c r="I184" s="5">
        <f>I185+I186</f>
        <v>20254.439999999999</v>
      </c>
      <c r="J184" s="5">
        <f>J185+J186</f>
        <v>20254.439999999999</v>
      </c>
      <c r="K184" s="5">
        <f>K185+K186</f>
        <v>20254.439999999999</v>
      </c>
    </row>
    <row r="185" spans="1:13" x14ac:dyDescent="0.2">
      <c r="A185" s="6" t="s">
        <v>435</v>
      </c>
      <c r="B185" s="6"/>
      <c r="C185" s="6">
        <v>3111.18</v>
      </c>
      <c r="D185" s="6">
        <v>3111.18</v>
      </c>
      <c r="E185" s="6">
        <v>3111.18</v>
      </c>
      <c r="F185" s="6">
        <v>5</v>
      </c>
      <c r="G185" s="6">
        <v>5</v>
      </c>
      <c r="H185" s="6">
        <v>5</v>
      </c>
      <c r="I185" s="5">
        <v>15556.41</v>
      </c>
      <c r="J185" s="5">
        <v>15556.41</v>
      </c>
      <c r="K185" s="5">
        <v>15556.41</v>
      </c>
    </row>
    <row r="186" spans="1:13" x14ac:dyDescent="0.2">
      <c r="A186" s="6" t="s">
        <v>460</v>
      </c>
      <c r="B186" s="6"/>
      <c r="C186" s="6">
        <v>939.71</v>
      </c>
      <c r="D186" s="6">
        <v>939.71</v>
      </c>
      <c r="E186" s="6">
        <v>939.71</v>
      </c>
      <c r="F186" s="6">
        <v>5</v>
      </c>
      <c r="G186" s="6">
        <v>5</v>
      </c>
      <c r="H186" s="6">
        <v>5</v>
      </c>
      <c r="I186" s="5">
        <v>4698.03</v>
      </c>
      <c r="J186" s="5">
        <v>4698.03</v>
      </c>
      <c r="K186" s="5">
        <v>4698.03</v>
      </c>
    </row>
    <row r="187" spans="1:13" ht="25.5" x14ac:dyDescent="0.2">
      <c r="A187" s="6" t="s">
        <v>461</v>
      </c>
      <c r="B187" s="6"/>
      <c r="C187" s="6"/>
      <c r="D187" s="6"/>
      <c r="E187" s="6"/>
      <c r="F187" s="6"/>
      <c r="G187" s="6"/>
      <c r="H187" s="6"/>
      <c r="I187" s="5">
        <f>I188+I189+I190</f>
        <v>1766.6899999999998</v>
      </c>
      <c r="J187" s="5">
        <f>J188+J189+J190</f>
        <v>1766.6899999999998</v>
      </c>
      <c r="K187" s="5">
        <f>K188+K189+K190</f>
        <v>1766.6899999999998</v>
      </c>
    </row>
    <row r="188" spans="1:13" x14ac:dyDescent="0.2">
      <c r="A188" s="6" t="s">
        <v>462</v>
      </c>
      <c r="B188" s="6"/>
      <c r="C188" s="6">
        <v>4.2</v>
      </c>
      <c r="D188" s="6">
        <v>4.2</v>
      </c>
      <c r="E188" s="6">
        <v>4.2</v>
      </c>
      <c r="F188" s="6">
        <v>5</v>
      </c>
      <c r="G188" s="6">
        <v>5</v>
      </c>
      <c r="H188" s="6">
        <v>5</v>
      </c>
      <c r="I188" s="5">
        <v>20.99</v>
      </c>
      <c r="J188" s="5">
        <v>20.99</v>
      </c>
      <c r="K188" s="5">
        <v>20.99</v>
      </c>
    </row>
    <row r="189" spans="1:13" x14ac:dyDescent="0.2">
      <c r="A189" s="6" t="s">
        <v>463</v>
      </c>
      <c r="B189" s="6"/>
      <c r="C189" s="6">
        <v>19.53</v>
      </c>
      <c r="D189" s="6">
        <v>19.53</v>
      </c>
      <c r="E189" s="6">
        <v>19.53</v>
      </c>
      <c r="F189" s="6">
        <v>5</v>
      </c>
      <c r="G189" s="6">
        <v>5</v>
      </c>
      <c r="H189" s="6">
        <v>5</v>
      </c>
      <c r="I189" s="5">
        <v>97.63</v>
      </c>
      <c r="J189" s="5">
        <v>97.63</v>
      </c>
      <c r="K189" s="5">
        <v>97.63</v>
      </c>
    </row>
    <row r="190" spans="1:13" ht="25.5" x14ac:dyDescent="0.2">
      <c r="A190" s="6" t="s">
        <v>464</v>
      </c>
      <c r="B190" s="6"/>
      <c r="C190" s="6">
        <v>329.62</v>
      </c>
      <c r="D190" s="6">
        <v>329.62</v>
      </c>
      <c r="E190" s="6">
        <v>329.62</v>
      </c>
      <c r="F190" s="6">
        <v>5</v>
      </c>
      <c r="G190" s="6">
        <v>5</v>
      </c>
      <c r="H190" s="6">
        <v>5</v>
      </c>
      <c r="I190" s="5">
        <v>1648.07</v>
      </c>
      <c r="J190" s="5">
        <v>1648.07</v>
      </c>
      <c r="K190" s="5">
        <v>1648.07</v>
      </c>
      <c r="M190" s="37"/>
    </row>
    <row r="191" spans="1:13" ht="24.75" customHeight="1" x14ac:dyDescent="0.2">
      <c r="A191" s="6" t="s">
        <v>133</v>
      </c>
      <c r="B191" s="2">
        <v>9000</v>
      </c>
      <c r="C191" s="2" t="s">
        <v>11</v>
      </c>
      <c r="D191" s="2" t="s">
        <v>11</v>
      </c>
      <c r="E191" s="2" t="s">
        <v>11</v>
      </c>
      <c r="F191" s="2" t="s">
        <v>11</v>
      </c>
      <c r="G191" s="2" t="s">
        <v>11</v>
      </c>
      <c r="H191" s="2" t="s">
        <v>11</v>
      </c>
      <c r="I191" s="33">
        <f>I177+I178+I180+I182+I183+I187</f>
        <v>69744.67</v>
      </c>
      <c r="J191" s="33">
        <f>J177+J178+J180+J182+J183+J187</f>
        <v>69744.67</v>
      </c>
      <c r="K191" s="33">
        <f>K177+K178+K180+K182+K183+K187</f>
        <v>69744.67</v>
      </c>
    </row>
    <row r="193" spans="1:11" ht="20.25" customHeight="1" x14ac:dyDescent="0.2">
      <c r="A193" s="109" t="s">
        <v>151</v>
      </c>
      <c r="B193" s="109"/>
      <c r="C193" s="109"/>
      <c r="D193" s="109"/>
      <c r="E193" s="109"/>
      <c r="F193" s="109"/>
      <c r="G193" s="109"/>
      <c r="H193" s="109"/>
      <c r="I193" s="109"/>
      <c r="J193" s="109"/>
      <c r="K193" s="109"/>
    </row>
    <row r="194" spans="1:11" ht="19.5" customHeight="1" x14ac:dyDescent="0.2">
      <c r="A194" s="393" t="s">
        <v>0</v>
      </c>
      <c r="B194" s="393" t="s">
        <v>1</v>
      </c>
      <c r="C194" s="393" t="s">
        <v>148</v>
      </c>
      <c r="D194" s="393"/>
      <c r="E194" s="393"/>
      <c r="F194" s="393" t="s">
        <v>149</v>
      </c>
      <c r="G194" s="393"/>
      <c r="H194" s="393"/>
      <c r="I194" s="393" t="s">
        <v>150</v>
      </c>
      <c r="J194" s="393"/>
      <c r="K194" s="393"/>
    </row>
    <row r="195" spans="1:11" ht="18.75" customHeight="1" x14ac:dyDescent="0.2">
      <c r="A195" s="393"/>
      <c r="B195" s="393"/>
      <c r="C195" s="220" t="s">
        <v>418</v>
      </c>
      <c r="D195" s="220" t="s">
        <v>548</v>
      </c>
      <c r="E195" s="220" t="s">
        <v>583</v>
      </c>
      <c r="F195" s="220" t="s">
        <v>418</v>
      </c>
      <c r="G195" s="220" t="s">
        <v>548</v>
      </c>
      <c r="H195" s="220" t="s">
        <v>583</v>
      </c>
      <c r="I195" s="220" t="s">
        <v>418</v>
      </c>
      <c r="J195" s="220" t="s">
        <v>548</v>
      </c>
      <c r="K195" s="220" t="s">
        <v>583</v>
      </c>
    </row>
    <row r="196" spans="1:11" ht="43.5" customHeight="1" x14ac:dyDescent="0.2">
      <c r="A196" s="393"/>
      <c r="B196" s="393"/>
      <c r="C196" s="116" t="s">
        <v>73</v>
      </c>
      <c r="D196" s="116" t="s">
        <v>74</v>
      </c>
      <c r="E196" s="116" t="s">
        <v>75</v>
      </c>
      <c r="F196" s="116" t="s">
        <v>73</v>
      </c>
      <c r="G196" s="116" t="s">
        <v>74</v>
      </c>
      <c r="H196" s="116" t="s">
        <v>75</v>
      </c>
      <c r="I196" s="116" t="s">
        <v>73</v>
      </c>
      <c r="J196" s="116" t="s">
        <v>74</v>
      </c>
      <c r="K196" s="116" t="s">
        <v>75</v>
      </c>
    </row>
    <row r="197" spans="1:11" ht="19.5" customHeight="1" x14ac:dyDescent="0.2">
      <c r="A197" s="116">
        <v>1</v>
      </c>
      <c r="B197" s="116">
        <v>2</v>
      </c>
      <c r="C197" s="116">
        <v>3</v>
      </c>
      <c r="D197" s="116">
        <v>4</v>
      </c>
      <c r="E197" s="116">
        <v>5</v>
      </c>
      <c r="F197" s="116">
        <v>6</v>
      </c>
      <c r="G197" s="116">
        <v>7</v>
      </c>
      <c r="H197" s="116">
        <v>8</v>
      </c>
      <c r="I197" s="116">
        <v>9</v>
      </c>
      <c r="J197" s="116">
        <v>10</v>
      </c>
      <c r="K197" s="116">
        <v>11</v>
      </c>
    </row>
    <row r="198" spans="1:11" ht="19.5" customHeight="1" x14ac:dyDescent="0.2">
      <c r="A198" s="116"/>
      <c r="B198" s="116"/>
      <c r="C198" s="116"/>
      <c r="D198" s="116"/>
      <c r="E198" s="116"/>
      <c r="F198" s="116"/>
      <c r="G198" s="116"/>
      <c r="H198" s="116"/>
      <c r="I198" s="116"/>
      <c r="J198" s="116"/>
      <c r="K198" s="116"/>
    </row>
    <row r="199" spans="1:11" ht="30" customHeight="1" x14ac:dyDescent="0.2">
      <c r="A199" s="117" t="s">
        <v>437</v>
      </c>
      <c r="B199" s="116">
        <v>1</v>
      </c>
      <c r="C199" s="112">
        <f>C200+C201</f>
        <v>13438.869999999999</v>
      </c>
      <c r="D199" s="112">
        <f>D200+D201</f>
        <v>13438.869999999999</v>
      </c>
      <c r="E199" s="112">
        <f>E200+E201</f>
        <v>13438.869999999999</v>
      </c>
      <c r="F199" s="117">
        <v>50</v>
      </c>
      <c r="G199" s="117">
        <v>50</v>
      </c>
      <c r="H199" s="117">
        <v>50</v>
      </c>
      <c r="I199" s="112">
        <f>I200+I201</f>
        <v>671943.43</v>
      </c>
      <c r="J199" s="112">
        <f>J200+J201</f>
        <v>671943.43</v>
      </c>
      <c r="K199" s="112">
        <f>K200+K201</f>
        <v>671943.43</v>
      </c>
    </row>
    <row r="200" spans="1:11" ht="18" customHeight="1" x14ac:dyDescent="0.2">
      <c r="A200" s="117" t="s">
        <v>435</v>
      </c>
      <c r="B200" s="116">
        <v>2</v>
      </c>
      <c r="C200" s="112">
        <v>10321.709999999999</v>
      </c>
      <c r="D200" s="112">
        <v>10321.709999999999</v>
      </c>
      <c r="E200" s="112">
        <v>10321.709999999999</v>
      </c>
      <c r="F200" s="117">
        <v>50</v>
      </c>
      <c r="G200" s="117">
        <v>50</v>
      </c>
      <c r="H200" s="117">
        <v>50</v>
      </c>
      <c r="I200" s="112">
        <v>516085.58</v>
      </c>
      <c r="J200" s="112">
        <v>516085.58</v>
      </c>
      <c r="K200" s="112">
        <v>516085.58</v>
      </c>
    </row>
    <row r="201" spans="1:11" ht="30.75" customHeight="1" x14ac:dyDescent="0.2">
      <c r="A201" s="117" t="s">
        <v>436</v>
      </c>
      <c r="B201" s="117"/>
      <c r="C201" s="117">
        <v>3117.16</v>
      </c>
      <c r="D201" s="117">
        <v>3117.16</v>
      </c>
      <c r="E201" s="117">
        <v>3117.16</v>
      </c>
      <c r="F201" s="117">
        <v>50</v>
      </c>
      <c r="G201" s="117">
        <v>50</v>
      </c>
      <c r="H201" s="117">
        <v>50</v>
      </c>
      <c r="I201" s="112">
        <v>155857.85</v>
      </c>
      <c r="J201" s="112">
        <v>155857.85</v>
      </c>
      <c r="K201" s="112">
        <v>155857.85</v>
      </c>
    </row>
    <row r="202" spans="1:11" ht="18.75" customHeight="1" x14ac:dyDescent="0.2">
      <c r="A202" s="117" t="s">
        <v>133</v>
      </c>
      <c r="B202" s="116">
        <v>9000</v>
      </c>
      <c r="C202" s="116" t="s">
        <v>11</v>
      </c>
      <c r="D202" s="116" t="s">
        <v>11</v>
      </c>
      <c r="E202" s="116" t="s">
        <v>11</v>
      </c>
      <c r="F202" s="116" t="s">
        <v>11</v>
      </c>
      <c r="G202" s="116" t="s">
        <v>11</v>
      </c>
      <c r="H202" s="116" t="s">
        <v>11</v>
      </c>
      <c r="I202" s="111">
        <f>I199+0.4+113669.94</f>
        <v>785613.77</v>
      </c>
      <c r="J202" s="111">
        <f>J199</f>
        <v>671943.43</v>
      </c>
      <c r="K202" s="111">
        <f>K199</f>
        <v>671943.43</v>
      </c>
    </row>
    <row r="203" spans="1:11" x14ac:dyDescent="0.2">
      <c r="A203" s="109"/>
      <c r="B203" s="109"/>
      <c r="C203" s="109"/>
      <c r="D203" s="109"/>
      <c r="E203" s="109"/>
      <c r="F203" s="109"/>
      <c r="G203" s="109"/>
      <c r="H203" s="109"/>
      <c r="I203" s="109"/>
      <c r="J203" s="109"/>
      <c r="K203" s="109"/>
    </row>
    <row r="204" spans="1:11" x14ac:dyDescent="0.2">
      <c r="A204" s="109" t="s">
        <v>151</v>
      </c>
      <c r="B204" s="109"/>
      <c r="C204" s="109"/>
      <c r="D204" s="109"/>
      <c r="E204" s="109"/>
      <c r="F204" s="109"/>
      <c r="G204" s="109"/>
      <c r="H204" s="109"/>
      <c r="I204" s="109"/>
      <c r="J204" s="109"/>
      <c r="K204" s="109"/>
    </row>
    <row r="205" spans="1:11" x14ac:dyDescent="0.2">
      <c r="A205" s="393" t="s">
        <v>0</v>
      </c>
      <c r="B205" s="393" t="s">
        <v>1</v>
      </c>
      <c r="C205" s="393" t="s">
        <v>148</v>
      </c>
      <c r="D205" s="393"/>
      <c r="E205" s="393"/>
      <c r="F205" s="393" t="s">
        <v>149</v>
      </c>
      <c r="G205" s="393"/>
      <c r="H205" s="393"/>
      <c r="I205" s="393" t="s">
        <v>150</v>
      </c>
      <c r="J205" s="393"/>
      <c r="K205" s="393"/>
    </row>
    <row r="206" spans="1:11" x14ac:dyDescent="0.2">
      <c r="A206" s="393"/>
      <c r="B206" s="393"/>
      <c r="C206" s="220" t="s">
        <v>418</v>
      </c>
      <c r="D206" s="220" t="s">
        <v>548</v>
      </c>
      <c r="E206" s="220" t="s">
        <v>583</v>
      </c>
      <c r="F206" s="220" t="s">
        <v>418</v>
      </c>
      <c r="G206" s="220" t="s">
        <v>548</v>
      </c>
      <c r="H206" s="220" t="s">
        <v>583</v>
      </c>
      <c r="I206" s="220" t="s">
        <v>418</v>
      </c>
      <c r="J206" s="220" t="s">
        <v>548</v>
      </c>
      <c r="K206" s="220" t="s">
        <v>583</v>
      </c>
    </row>
    <row r="207" spans="1:11" ht="38.25" x14ac:dyDescent="0.2">
      <c r="A207" s="393"/>
      <c r="B207" s="393"/>
      <c r="C207" s="116" t="s">
        <v>73</v>
      </c>
      <c r="D207" s="116" t="s">
        <v>74</v>
      </c>
      <c r="E207" s="116" t="s">
        <v>75</v>
      </c>
      <c r="F207" s="116" t="s">
        <v>73</v>
      </c>
      <c r="G207" s="116" t="s">
        <v>74</v>
      </c>
      <c r="H207" s="116" t="s">
        <v>75</v>
      </c>
      <c r="I207" s="116" t="s">
        <v>73</v>
      </c>
      <c r="J207" s="116" t="s">
        <v>74</v>
      </c>
      <c r="K207" s="116" t="s">
        <v>75</v>
      </c>
    </row>
    <row r="208" spans="1:11" x14ac:dyDescent="0.2">
      <c r="A208" s="116">
        <v>1</v>
      </c>
      <c r="B208" s="116">
        <v>2</v>
      </c>
      <c r="C208" s="116">
        <v>3</v>
      </c>
      <c r="D208" s="116">
        <v>4</v>
      </c>
      <c r="E208" s="116">
        <v>5</v>
      </c>
      <c r="F208" s="116">
        <v>6</v>
      </c>
      <c r="G208" s="116">
        <v>7</v>
      </c>
      <c r="H208" s="116">
        <v>8</v>
      </c>
      <c r="I208" s="116">
        <v>9</v>
      </c>
      <c r="J208" s="116">
        <v>10</v>
      </c>
      <c r="K208" s="116">
        <v>11</v>
      </c>
    </row>
    <row r="209" spans="1:13" x14ac:dyDescent="0.2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</row>
    <row r="210" spans="1:13" ht="28.5" customHeight="1" x14ac:dyDescent="0.2">
      <c r="A210" s="117" t="s">
        <v>437</v>
      </c>
      <c r="B210" s="116">
        <v>1</v>
      </c>
      <c r="C210" s="112">
        <f>C211+C212</f>
        <v>3809.45</v>
      </c>
      <c r="D210" s="112">
        <f>D211+D212</f>
        <v>3809.45</v>
      </c>
      <c r="E210" s="112">
        <f>E211+E212</f>
        <v>3809.45</v>
      </c>
      <c r="F210" s="117">
        <v>235</v>
      </c>
      <c r="G210" s="117">
        <v>235</v>
      </c>
      <c r="H210" s="117">
        <v>235</v>
      </c>
      <c r="I210" s="112">
        <v>895221</v>
      </c>
      <c r="J210" s="112">
        <v>895220</v>
      </c>
      <c r="K210" s="112">
        <v>895220</v>
      </c>
    </row>
    <row r="211" spans="1:13" ht="18" customHeight="1" x14ac:dyDescent="0.2">
      <c r="A211" s="117" t="s">
        <v>435</v>
      </c>
      <c r="B211" s="116">
        <v>2</v>
      </c>
      <c r="C211" s="112">
        <v>2925.83</v>
      </c>
      <c r="D211" s="112">
        <v>2925.83</v>
      </c>
      <c r="E211" s="112">
        <v>2925.83</v>
      </c>
      <c r="F211" s="117">
        <v>235</v>
      </c>
      <c r="G211" s="117">
        <v>235</v>
      </c>
      <c r="H211" s="117">
        <v>235</v>
      </c>
      <c r="I211" s="112">
        <f>C211*F211</f>
        <v>687570.04999999993</v>
      </c>
      <c r="J211" s="112">
        <v>687573.73</v>
      </c>
      <c r="K211" s="112">
        <v>687573.73</v>
      </c>
    </row>
    <row r="212" spans="1:13" ht="29.25" customHeight="1" x14ac:dyDescent="0.2">
      <c r="A212" s="117" t="s">
        <v>436</v>
      </c>
      <c r="B212" s="117"/>
      <c r="C212" s="117">
        <v>883.62</v>
      </c>
      <c r="D212" s="117">
        <v>883.62</v>
      </c>
      <c r="E212" s="117">
        <v>883.62</v>
      </c>
      <c r="F212" s="117">
        <v>235</v>
      </c>
      <c r="G212" s="117">
        <v>235</v>
      </c>
      <c r="H212" s="117">
        <v>235</v>
      </c>
      <c r="I212" s="112">
        <f>C212*F212</f>
        <v>207650.7</v>
      </c>
      <c r="J212" s="112">
        <v>207647.27</v>
      </c>
      <c r="K212" s="112">
        <v>207647.27</v>
      </c>
      <c r="M212" s="28"/>
    </row>
    <row r="213" spans="1:13" ht="18" customHeight="1" x14ac:dyDescent="0.2">
      <c r="A213" s="117" t="s">
        <v>133</v>
      </c>
      <c r="B213" s="116">
        <v>9000</v>
      </c>
      <c r="C213" s="116" t="s">
        <v>11</v>
      </c>
      <c r="D213" s="116" t="s">
        <v>11</v>
      </c>
      <c r="E213" s="116" t="s">
        <v>11</v>
      </c>
      <c r="F213" s="116" t="s">
        <v>11</v>
      </c>
      <c r="G213" s="116" t="s">
        <v>11</v>
      </c>
      <c r="H213" s="116" t="s">
        <v>11</v>
      </c>
      <c r="I213" s="111">
        <f>I210</f>
        <v>895221</v>
      </c>
      <c r="J213" s="111">
        <f>J210</f>
        <v>895220</v>
      </c>
      <c r="K213" s="111">
        <f>K210</f>
        <v>895220</v>
      </c>
    </row>
    <row r="214" spans="1:13" x14ac:dyDescent="0.2">
      <c r="M214" s="28"/>
    </row>
    <row r="216" spans="1:13" ht="18.75" x14ac:dyDescent="0.3">
      <c r="I216" s="32"/>
    </row>
    <row r="217" spans="1:13" x14ac:dyDescent="0.2">
      <c r="I217" s="28">
        <f>I15+I32+I49+I71+I89+I111+I129+I151+I169+I191+I202+I213</f>
        <v>45882444.999999993</v>
      </c>
      <c r="J217" s="28">
        <f>J15+J32+J49+J71+J89+J111+J129+J151+J169+J191+J202+J213</f>
        <v>45417524.999999993</v>
      </c>
      <c r="K217" s="28">
        <f>K15+K32+K49+K71+K89+K111+K129+K151+K169+K191+K202+K213</f>
        <v>40675899.999999993</v>
      </c>
    </row>
  </sheetData>
  <mergeCells count="60">
    <mergeCell ref="I2:K2"/>
    <mergeCell ref="A18:A20"/>
    <mergeCell ref="B18:B20"/>
    <mergeCell ref="C18:E18"/>
    <mergeCell ref="F18:H18"/>
    <mergeCell ref="I18:K18"/>
    <mergeCell ref="A2:A4"/>
    <mergeCell ref="B2:B4"/>
    <mergeCell ref="C2:E2"/>
    <mergeCell ref="F2:H2"/>
    <mergeCell ref="I35:K35"/>
    <mergeCell ref="A52:A54"/>
    <mergeCell ref="B52:B54"/>
    <mergeCell ref="C52:E52"/>
    <mergeCell ref="F52:H52"/>
    <mergeCell ref="I52:K52"/>
    <mergeCell ref="A35:A37"/>
    <mergeCell ref="B35:B37"/>
    <mergeCell ref="C35:E35"/>
    <mergeCell ref="F35:H35"/>
    <mergeCell ref="I74:K74"/>
    <mergeCell ref="A92:A94"/>
    <mergeCell ref="B92:B94"/>
    <mergeCell ref="C92:E92"/>
    <mergeCell ref="F92:H92"/>
    <mergeCell ref="I92:K92"/>
    <mergeCell ref="A74:A76"/>
    <mergeCell ref="B74:B76"/>
    <mergeCell ref="C74:E74"/>
    <mergeCell ref="F74:H74"/>
    <mergeCell ref="I114:K114"/>
    <mergeCell ref="A132:A134"/>
    <mergeCell ref="B132:B134"/>
    <mergeCell ref="C132:E132"/>
    <mergeCell ref="F132:H132"/>
    <mergeCell ref="I132:K132"/>
    <mergeCell ref="A114:A116"/>
    <mergeCell ref="B114:B116"/>
    <mergeCell ref="C114:E114"/>
    <mergeCell ref="F114:H114"/>
    <mergeCell ref="I154:K154"/>
    <mergeCell ref="A172:A174"/>
    <mergeCell ref="B172:B174"/>
    <mergeCell ref="C172:E172"/>
    <mergeCell ref="F172:H172"/>
    <mergeCell ref="I172:K172"/>
    <mergeCell ref="A154:A156"/>
    <mergeCell ref="B154:B156"/>
    <mergeCell ref="C154:E154"/>
    <mergeCell ref="F154:H154"/>
    <mergeCell ref="I194:K194"/>
    <mergeCell ref="A205:A207"/>
    <mergeCell ref="B205:B207"/>
    <mergeCell ref="C205:E205"/>
    <mergeCell ref="F205:H205"/>
    <mergeCell ref="I205:K205"/>
    <mergeCell ref="A194:A196"/>
    <mergeCell ref="B194:B196"/>
    <mergeCell ref="C194:E194"/>
    <mergeCell ref="F194:H194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8"/>
  <sheetViews>
    <sheetView workbookViewId="0">
      <selection activeCell="K5" sqref="K5"/>
    </sheetView>
  </sheetViews>
  <sheetFormatPr defaultRowHeight="12.75" x14ac:dyDescent="0.2"/>
  <cols>
    <col min="1" max="1" width="33.28515625" style="3" customWidth="1"/>
    <col min="2" max="2" width="9.140625" style="3"/>
    <col min="3" max="8" width="13.28515625" style="3" customWidth="1"/>
    <col min="9" max="9" width="14.7109375" style="3" customWidth="1"/>
    <col min="10" max="10" width="14.85546875" style="3" customWidth="1"/>
    <col min="11" max="11" width="15" style="3" customWidth="1"/>
    <col min="12" max="16384" width="9.140625" style="3"/>
  </cols>
  <sheetData>
    <row r="1" spans="1:11" x14ac:dyDescent="0.2">
      <c r="A1" s="3" t="s">
        <v>152</v>
      </c>
    </row>
    <row r="3" spans="1:11" ht="49.5" customHeight="1" x14ac:dyDescent="0.2">
      <c r="A3" s="388" t="s">
        <v>0</v>
      </c>
      <c r="B3" s="388" t="s">
        <v>1</v>
      </c>
      <c r="C3" s="388" t="s">
        <v>148</v>
      </c>
      <c r="D3" s="388"/>
      <c r="E3" s="388"/>
      <c r="F3" s="388" t="s">
        <v>149</v>
      </c>
      <c r="G3" s="388"/>
      <c r="H3" s="388"/>
      <c r="I3" s="388" t="s">
        <v>150</v>
      </c>
      <c r="J3" s="388"/>
      <c r="K3" s="388"/>
    </row>
    <row r="4" spans="1:11" x14ac:dyDescent="0.2">
      <c r="A4" s="388"/>
      <c r="B4" s="388"/>
      <c r="C4" s="16" t="s">
        <v>602</v>
      </c>
      <c r="D4" s="16" t="s">
        <v>548</v>
      </c>
      <c r="E4" s="16" t="s">
        <v>583</v>
      </c>
      <c r="F4" s="16" t="s">
        <v>418</v>
      </c>
      <c r="G4" s="16" t="s">
        <v>548</v>
      </c>
      <c r="H4" s="16" t="s">
        <v>583</v>
      </c>
      <c r="I4" s="16" t="s">
        <v>418</v>
      </c>
      <c r="J4" s="16" t="s">
        <v>548</v>
      </c>
      <c r="K4" s="16" t="s">
        <v>583</v>
      </c>
    </row>
    <row r="5" spans="1:11" ht="38.25" x14ac:dyDescent="0.2">
      <c r="A5" s="388"/>
      <c r="B5" s="388"/>
      <c r="C5" s="2" t="s">
        <v>73</v>
      </c>
      <c r="D5" s="2" t="s">
        <v>74</v>
      </c>
      <c r="E5" s="2" t="s">
        <v>75</v>
      </c>
      <c r="F5" s="2" t="s">
        <v>73</v>
      </c>
      <c r="G5" s="2" t="s">
        <v>74</v>
      </c>
      <c r="H5" s="2" t="s">
        <v>75</v>
      </c>
      <c r="I5" s="2" t="s">
        <v>73</v>
      </c>
      <c r="J5" s="2" t="s">
        <v>74</v>
      </c>
      <c r="K5" s="2" t="s">
        <v>75</v>
      </c>
    </row>
    <row r="6" spans="1:11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 ht="23.25" customHeight="1" x14ac:dyDescent="0.2">
      <c r="A7" s="6" t="s">
        <v>277</v>
      </c>
      <c r="B7" s="2">
        <v>1</v>
      </c>
      <c r="C7" s="112">
        <f>I7/F7</f>
        <v>1775.3333333333333</v>
      </c>
      <c r="D7" s="112">
        <f t="shared" ref="D7:E7" si="0">J7/G7</f>
        <v>1775.3333333333333</v>
      </c>
      <c r="E7" s="112">
        <f t="shared" si="0"/>
        <v>1775.3333333333333</v>
      </c>
      <c r="F7" s="117">
        <v>300</v>
      </c>
      <c r="G7" s="117">
        <v>300</v>
      </c>
      <c r="H7" s="117">
        <v>300</v>
      </c>
      <c r="I7" s="112">
        <v>532600</v>
      </c>
      <c r="J7" s="112">
        <v>532600</v>
      </c>
      <c r="K7" s="112">
        <v>532600</v>
      </c>
    </row>
    <row r="8" spans="1:11" ht="20.25" customHeight="1" x14ac:dyDescent="0.2">
      <c r="A8" s="6" t="s">
        <v>133</v>
      </c>
      <c r="B8" s="2">
        <v>9000</v>
      </c>
      <c r="C8" s="250" t="s">
        <v>11</v>
      </c>
      <c r="D8" s="250" t="s">
        <v>11</v>
      </c>
      <c r="E8" s="250" t="s">
        <v>11</v>
      </c>
      <c r="F8" s="250" t="s">
        <v>11</v>
      </c>
      <c r="G8" s="250" t="s">
        <v>11</v>
      </c>
      <c r="H8" s="250" t="s">
        <v>11</v>
      </c>
      <c r="I8" s="111">
        <f>I7</f>
        <v>532600</v>
      </c>
      <c r="J8" s="111">
        <f>J7</f>
        <v>532600</v>
      </c>
      <c r="K8" s="111">
        <f>K7</f>
        <v>532600</v>
      </c>
    </row>
  </sheetData>
  <mergeCells count="5">
    <mergeCell ref="I3:K3"/>
    <mergeCell ref="A3:A5"/>
    <mergeCell ref="B3:B5"/>
    <mergeCell ref="C3:E3"/>
    <mergeCell ref="F3:H3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0"/>
  <sheetViews>
    <sheetView tabSelected="1" workbookViewId="0">
      <selection activeCell="K10" sqref="K10"/>
    </sheetView>
  </sheetViews>
  <sheetFormatPr defaultRowHeight="12.75" x14ac:dyDescent="0.2"/>
  <cols>
    <col min="1" max="1" width="29.7109375" style="3" customWidth="1"/>
    <col min="2" max="2" width="9.140625" style="3"/>
    <col min="3" max="11" width="16" style="3" customWidth="1"/>
    <col min="12" max="16384" width="9.140625" style="3"/>
  </cols>
  <sheetData>
    <row r="1" spans="1:11" x14ac:dyDescent="0.2">
      <c r="A1" s="3" t="s">
        <v>153</v>
      </c>
    </row>
    <row r="3" spans="1:11" ht="49.5" customHeight="1" x14ac:dyDescent="0.2">
      <c r="A3" s="394" t="s">
        <v>0</v>
      </c>
      <c r="B3" s="394" t="s">
        <v>1</v>
      </c>
      <c r="C3" s="394" t="s">
        <v>148</v>
      </c>
      <c r="D3" s="394"/>
      <c r="E3" s="394"/>
      <c r="F3" s="394" t="s">
        <v>149</v>
      </c>
      <c r="G3" s="394"/>
      <c r="H3" s="394"/>
      <c r="I3" s="394" t="s">
        <v>150</v>
      </c>
      <c r="J3" s="394"/>
      <c r="K3" s="394"/>
    </row>
    <row r="4" spans="1:11" ht="24.75" customHeight="1" x14ac:dyDescent="0.2">
      <c r="A4" s="394"/>
      <c r="B4" s="394"/>
      <c r="C4" s="16" t="s">
        <v>418</v>
      </c>
      <c r="D4" s="16" t="s">
        <v>548</v>
      </c>
      <c r="E4" s="16" t="s">
        <v>583</v>
      </c>
      <c r="F4" s="16" t="s">
        <v>418</v>
      </c>
      <c r="G4" s="16" t="s">
        <v>548</v>
      </c>
      <c r="H4" s="16" t="s">
        <v>583</v>
      </c>
      <c r="I4" s="16" t="s">
        <v>418</v>
      </c>
      <c r="J4" s="16" t="s">
        <v>548</v>
      </c>
      <c r="K4" s="16" t="s">
        <v>583</v>
      </c>
    </row>
    <row r="5" spans="1:11" ht="38.25" x14ac:dyDescent="0.2">
      <c r="A5" s="394"/>
      <c r="B5" s="394"/>
      <c r="C5" s="16" t="s">
        <v>73</v>
      </c>
      <c r="D5" s="16" t="s">
        <v>74</v>
      </c>
      <c r="E5" s="16" t="s">
        <v>75</v>
      </c>
      <c r="F5" s="16" t="s">
        <v>73</v>
      </c>
      <c r="G5" s="16" t="s">
        <v>74</v>
      </c>
      <c r="H5" s="16" t="s">
        <v>75</v>
      </c>
      <c r="I5" s="16" t="s">
        <v>73</v>
      </c>
      <c r="J5" s="16" t="s">
        <v>74</v>
      </c>
      <c r="K5" s="16" t="s">
        <v>75</v>
      </c>
    </row>
    <row r="6" spans="1:11" ht="20.25" customHeight="1" x14ac:dyDescent="0.2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</row>
    <row r="7" spans="1:11" ht="41.25" customHeight="1" x14ac:dyDescent="0.2">
      <c r="A7" s="48" t="s">
        <v>553</v>
      </c>
      <c r="B7" s="16">
        <v>1</v>
      </c>
      <c r="C7" s="319">
        <v>1500</v>
      </c>
      <c r="D7" s="319">
        <v>1500</v>
      </c>
      <c r="E7" s="319">
        <v>1500</v>
      </c>
      <c r="F7" s="319">
        <v>121500</v>
      </c>
      <c r="G7" s="319">
        <v>121500</v>
      </c>
      <c r="H7" s="319">
        <v>121500</v>
      </c>
      <c r="I7" s="319">
        <v>121500</v>
      </c>
      <c r="J7" s="319">
        <v>121500</v>
      </c>
      <c r="K7" s="319">
        <v>121500</v>
      </c>
    </row>
    <row r="8" spans="1:11" ht="34.5" customHeight="1" x14ac:dyDescent="0.2">
      <c r="A8" s="48" t="s">
        <v>551</v>
      </c>
      <c r="B8" s="16">
        <v>2</v>
      </c>
      <c r="C8" s="319">
        <v>1500</v>
      </c>
      <c r="D8" s="319">
        <v>1500</v>
      </c>
      <c r="E8" s="319">
        <v>1500</v>
      </c>
      <c r="F8" s="319">
        <v>121500</v>
      </c>
      <c r="G8" s="319">
        <v>121500</v>
      </c>
      <c r="H8" s="319">
        <v>121500</v>
      </c>
      <c r="I8" s="319">
        <v>121500</v>
      </c>
      <c r="J8" s="319">
        <v>121500</v>
      </c>
      <c r="K8" s="319">
        <v>121500</v>
      </c>
    </row>
    <row r="9" spans="1:11" ht="40.5" customHeight="1" x14ac:dyDescent="0.2">
      <c r="A9" s="48" t="s">
        <v>587</v>
      </c>
      <c r="B9" s="16">
        <v>3</v>
      </c>
      <c r="C9" s="319">
        <v>1500</v>
      </c>
      <c r="D9" s="319">
        <v>1500</v>
      </c>
      <c r="E9" s="319">
        <v>1500</v>
      </c>
      <c r="F9" s="319">
        <v>121500</v>
      </c>
      <c r="G9" s="319">
        <v>121500</v>
      </c>
      <c r="H9" s="319">
        <v>121500</v>
      </c>
      <c r="I9" s="319">
        <v>121500</v>
      </c>
      <c r="J9" s="319">
        <v>121500</v>
      </c>
      <c r="K9" s="319">
        <v>121500</v>
      </c>
    </row>
    <row r="10" spans="1:11" ht="29.25" customHeight="1" x14ac:dyDescent="0.2">
      <c r="A10" s="48" t="s">
        <v>554</v>
      </c>
      <c r="B10" s="16">
        <v>4</v>
      </c>
      <c r="C10" s="319">
        <v>1500</v>
      </c>
      <c r="D10" s="319">
        <v>1500</v>
      </c>
      <c r="E10" s="319">
        <v>1500</v>
      </c>
      <c r="F10" s="319">
        <v>121500</v>
      </c>
      <c r="G10" s="319">
        <v>121500</v>
      </c>
      <c r="H10" s="319">
        <v>121500</v>
      </c>
      <c r="I10" s="319">
        <v>121500</v>
      </c>
      <c r="J10" s="319">
        <v>121500</v>
      </c>
      <c r="K10" s="319">
        <v>121500</v>
      </c>
    </row>
    <row r="11" spans="1:11" ht="42" customHeight="1" x14ac:dyDescent="0.2">
      <c r="A11" s="48" t="s">
        <v>588</v>
      </c>
      <c r="B11" s="16">
        <v>5</v>
      </c>
      <c r="C11" s="319">
        <v>1200</v>
      </c>
      <c r="D11" s="319">
        <v>1200</v>
      </c>
      <c r="E11" s="319">
        <v>1200</v>
      </c>
      <c r="F11" s="319">
        <v>97200</v>
      </c>
      <c r="G11" s="319">
        <v>97200</v>
      </c>
      <c r="H11" s="319">
        <v>97200</v>
      </c>
      <c r="I11" s="319">
        <v>97200</v>
      </c>
      <c r="J11" s="319">
        <v>97200</v>
      </c>
      <c r="K11" s="319">
        <v>97200</v>
      </c>
    </row>
    <row r="12" spans="1:11" ht="35.25" customHeight="1" x14ac:dyDescent="0.2">
      <c r="A12" s="48" t="s">
        <v>552</v>
      </c>
      <c r="B12" s="16">
        <v>6</v>
      </c>
      <c r="C12" s="319">
        <v>1500</v>
      </c>
      <c r="D12" s="319">
        <v>1500</v>
      </c>
      <c r="E12" s="319">
        <v>1500</v>
      </c>
      <c r="F12" s="319">
        <v>121500</v>
      </c>
      <c r="G12" s="319">
        <v>121500</v>
      </c>
      <c r="H12" s="319">
        <v>121500</v>
      </c>
      <c r="I12" s="319">
        <v>121500</v>
      </c>
      <c r="J12" s="319">
        <v>121500</v>
      </c>
      <c r="K12" s="319">
        <v>121500</v>
      </c>
    </row>
    <row r="13" spans="1:11" ht="34.5" customHeight="1" x14ac:dyDescent="0.2">
      <c r="A13" s="48" t="s">
        <v>589</v>
      </c>
      <c r="B13" s="16">
        <v>7</v>
      </c>
      <c r="C13" s="319">
        <v>1200</v>
      </c>
      <c r="D13" s="319">
        <v>1200</v>
      </c>
      <c r="E13" s="319">
        <v>1200</v>
      </c>
      <c r="F13" s="319">
        <v>97200</v>
      </c>
      <c r="G13" s="319">
        <v>97200</v>
      </c>
      <c r="H13" s="319">
        <v>97200</v>
      </c>
      <c r="I13" s="319">
        <v>97200</v>
      </c>
      <c r="J13" s="319">
        <v>97200</v>
      </c>
      <c r="K13" s="319">
        <v>97200</v>
      </c>
    </row>
    <row r="14" spans="1:11" ht="30.75" customHeight="1" x14ac:dyDescent="0.2">
      <c r="A14" s="48" t="s">
        <v>555</v>
      </c>
      <c r="B14" s="16">
        <v>8</v>
      </c>
      <c r="C14" s="319">
        <v>1200</v>
      </c>
      <c r="D14" s="319">
        <v>1200</v>
      </c>
      <c r="E14" s="319">
        <v>1200</v>
      </c>
      <c r="F14" s="319">
        <v>97200</v>
      </c>
      <c r="G14" s="319">
        <v>97200</v>
      </c>
      <c r="H14" s="319">
        <v>97200</v>
      </c>
      <c r="I14" s="319">
        <v>97200</v>
      </c>
      <c r="J14" s="319">
        <v>97200</v>
      </c>
      <c r="K14" s="319">
        <v>97200</v>
      </c>
    </row>
    <row r="15" spans="1:11" ht="21" customHeight="1" x14ac:dyDescent="0.2">
      <c r="A15" s="48" t="s">
        <v>591</v>
      </c>
      <c r="B15" s="16">
        <v>9</v>
      </c>
      <c r="C15" s="320">
        <v>1500</v>
      </c>
      <c r="D15" s="320">
        <v>1500</v>
      </c>
      <c r="E15" s="320">
        <v>1500</v>
      </c>
      <c r="F15" s="319">
        <v>121500</v>
      </c>
      <c r="G15" s="319">
        <v>121500</v>
      </c>
      <c r="H15" s="319">
        <v>121500</v>
      </c>
      <c r="I15" s="319">
        <v>121500</v>
      </c>
      <c r="J15" s="319">
        <v>121500</v>
      </c>
      <c r="K15" s="319">
        <v>121500</v>
      </c>
    </row>
    <row r="16" spans="1:11" ht="30" x14ac:dyDescent="0.2">
      <c r="A16" s="48" t="s">
        <v>590</v>
      </c>
      <c r="B16" s="16">
        <v>10</v>
      </c>
      <c r="C16" s="320">
        <v>1500</v>
      </c>
      <c r="D16" s="320">
        <v>1500</v>
      </c>
      <c r="E16" s="320">
        <v>1500</v>
      </c>
      <c r="F16" s="319">
        <v>121500</v>
      </c>
      <c r="G16" s="319">
        <v>121500</v>
      </c>
      <c r="H16" s="319">
        <v>121500</v>
      </c>
      <c r="I16" s="319">
        <v>121500</v>
      </c>
      <c r="J16" s="319">
        <v>121500</v>
      </c>
      <c r="K16" s="319">
        <v>121500</v>
      </c>
    </row>
    <row r="17" spans="1:11" ht="15" x14ac:dyDescent="0.2">
      <c r="A17" s="48" t="s">
        <v>592</v>
      </c>
      <c r="B17" s="16">
        <v>11</v>
      </c>
      <c r="C17" s="320">
        <v>2000</v>
      </c>
      <c r="D17" s="320">
        <v>2000</v>
      </c>
      <c r="E17" s="320">
        <v>2000</v>
      </c>
      <c r="F17" s="319">
        <v>162000</v>
      </c>
      <c r="G17" s="319">
        <v>162000</v>
      </c>
      <c r="H17" s="319">
        <v>162000</v>
      </c>
      <c r="I17" s="319">
        <v>162000</v>
      </c>
      <c r="J17" s="319">
        <v>162000</v>
      </c>
      <c r="K17" s="319">
        <v>162000</v>
      </c>
    </row>
    <row r="18" spans="1:11" ht="15" x14ac:dyDescent="0.2">
      <c r="A18" s="48" t="s">
        <v>593</v>
      </c>
      <c r="B18" s="16">
        <v>12</v>
      </c>
      <c r="C18" s="320">
        <v>1500</v>
      </c>
      <c r="D18" s="320">
        <v>1500</v>
      </c>
      <c r="E18" s="320">
        <v>1500</v>
      </c>
      <c r="F18" s="319">
        <v>121500</v>
      </c>
      <c r="G18" s="319">
        <v>121500</v>
      </c>
      <c r="H18" s="319">
        <v>121500</v>
      </c>
      <c r="I18" s="319">
        <v>121500</v>
      </c>
      <c r="J18" s="319">
        <v>121500</v>
      </c>
      <c r="K18" s="319">
        <v>121500</v>
      </c>
    </row>
    <row r="19" spans="1:11" ht="15" x14ac:dyDescent="0.2">
      <c r="A19" s="48" t="s">
        <v>594</v>
      </c>
      <c r="B19" s="16">
        <v>13</v>
      </c>
      <c r="C19" s="320">
        <v>1200</v>
      </c>
      <c r="D19" s="320">
        <v>1200</v>
      </c>
      <c r="E19" s="320">
        <v>1200</v>
      </c>
      <c r="F19" s="319">
        <v>97200</v>
      </c>
      <c r="G19" s="319">
        <v>97200</v>
      </c>
      <c r="H19" s="319">
        <v>97200</v>
      </c>
      <c r="I19" s="319">
        <v>97200</v>
      </c>
      <c r="J19" s="319">
        <v>97200</v>
      </c>
      <c r="K19" s="319">
        <v>97200</v>
      </c>
    </row>
    <row r="20" spans="1:11" x14ac:dyDescent="0.2">
      <c r="A20" s="221" t="s">
        <v>603</v>
      </c>
      <c r="B20" s="306">
        <v>9000</v>
      </c>
      <c r="C20" s="16" t="s">
        <v>11</v>
      </c>
      <c r="D20" s="16" t="s">
        <v>11</v>
      </c>
      <c r="E20" s="16" t="s">
        <v>11</v>
      </c>
      <c r="F20" s="16" t="s">
        <v>11</v>
      </c>
      <c r="G20" s="16" t="s">
        <v>11</v>
      </c>
      <c r="H20" s="16" t="s">
        <v>11</v>
      </c>
      <c r="I20" s="307">
        <f>SUM(I7:I19)</f>
        <v>1522800</v>
      </c>
      <c r="J20" s="307">
        <f t="shared" ref="J20:K20" si="0">SUM(J7:J19)</f>
        <v>1522800</v>
      </c>
      <c r="K20" s="307">
        <f t="shared" si="0"/>
        <v>1522800</v>
      </c>
    </row>
  </sheetData>
  <mergeCells count="5">
    <mergeCell ref="I3:K3"/>
    <mergeCell ref="A3:A5"/>
    <mergeCell ref="B3:B5"/>
    <mergeCell ref="C3:E3"/>
    <mergeCell ref="F3:H3"/>
  </mergeCells>
  <phoneticPr fontId="15" type="noConversion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37</vt:i4>
      </vt:variant>
      <vt:variant>
        <vt:lpstr>Именованные диапазоны</vt:lpstr>
      </vt:variant>
      <vt:variant>
        <vt:i4>4</vt:i4>
      </vt:variant>
    </vt:vector>
  </HeadingPairs>
  <TitlesOfParts>
    <vt:vector size="41" baseType="lpstr">
      <vt:lpstr>Раздел 1.Поступления и выплаты</vt:lpstr>
      <vt:lpstr>Раздел 2.Сведения по выплатам</vt:lpstr>
      <vt:lpstr>3.1.1.</vt:lpstr>
      <vt:lpstr>3.1.2</vt:lpstr>
      <vt:lpstr>3.1.3</vt:lpstr>
      <vt:lpstr>3.2.1</vt:lpstr>
      <vt:lpstr>3.2.2</vt:lpstr>
      <vt:lpstr>3.2.3</vt:lpstr>
      <vt:lpstr>3.2.4</vt:lpstr>
      <vt:lpstr>3.2.5</vt:lpstr>
      <vt:lpstr>3.3.1</vt:lpstr>
      <vt:lpstr>3.5.1 (2)</vt:lpstr>
      <vt:lpstr>3.4.1</vt:lpstr>
      <vt:lpstr>3.6.1</vt:lpstr>
      <vt:lpstr>3.6.3 (2)</vt:lpstr>
      <vt:lpstr>3.6.4 (2)</vt:lpstr>
      <vt:lpstr>3.6.5 (2)</vt:lpstr>
      <vt:lpstr>3.7.1 (2)</vt:lpstr>
      <vt:lpstr>3.7.2 (2)</vt:lpstr>
      <vt:lpstr>3.8.1 (2)</vt:lpstr>
      <vt:lpstr>3.8.2 (2)</vt:lpstr>
      <vt:lpstr>3.9 (2)</vt:lpstr>
      <vt:lpstr>3.10 (2)</vt:lpstr>
      <vt:lpstr>3.11 (2)</vt:lpstr>
      <vt:lpstr>3.12 (2)</vt:lpstr>
      <vt:lpstr>3.13.1</vt:lpstr>
      <vt:lpstr>3.13.2</vt:lpstr>
      <vt:lpstr>3.13.3</vt:lpstr>
      <vt:lpstr>3.13.4</vt:lpstr>
      <vt:lpstr>3.13.5</vt:lpstr>
      <vt:lpstr>3.13.6</vt:lpstr>
      <vt:lpstr>3.13.7</vt:lpstr>
      <vt:lpstr>3.13.8</vt:lpstr>
      <vt:lpstr>3.13.9</vt:lpstr>
      <vt:lpstr>3.13.10</vt:lpstr>
      <vt:lpstr>3.13.11</vt:lpstr>
      <vt:lpstr>Лист1</vt:lpstr>
      <vt:lpstr>'3.2.2'!Область_печати</vt:lpstr>
      <vt:lpstr>'3.6.3 (2)'!Область_печати</vt:lpstr>
      <vt:lpstr>'3.6.5 (2)'!Область_печати</vt:lpstr>
      <vt:lpstr>'3.7.2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Руководитель</dc:creator>
  <cp:lastModifiedBy>Бухгалтер</cp:lastModifiedBy>
  <cp:lastPrinted>2022-06-01T07:29:02Z</cp:lastPrinted>
  <dcterms:created xsi:type="dcterms:W3CDTF">2020-01-22T04:17:51Z</dcterms:created>
  <dcterms:modified xsi:type="dcterms:W3CDTF">2022-06-10T07:12:58Z</dcterms:modified>
</cp:coreProperties>
</file>